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p\AppData\Local\Microsoft\Windows\INetCache\Content.Outlook\D4N3VBO6\"/>
    </mc:Choice>
  </mc:AlternateContent>
  <bookViews>
    <workbookView xWindow="0" yWindow="0" windowWidth="16215" windowHeight="7605" tabRatio="929" firstSheet="1" activeTab="5"/>
  </bookViews>
  <sheets>
    <sheet name="Budget Projections" sheetId="10" r:id="rId1"/>
    <sheet name="Assumptions &amp; Forecast" sheetId="16" r:id="rId2"/>
    <sheet name="Financial" sheetId="1" r:id="rId3"/>
    <sheet name="Pipeline" sheetId="2" r:id="rId4"/>
    <sheet name="Social" sheetId="3" r:id="rId5"/>
    <sheet name="Advocacy &amp; Outreach" sheetId="8" r:id="rId6"/>
    <sheet name="Calculations" sheetId="7" state="hidden" r:id="rId7"/>
    <sheet name="License Fee Calculator" sheetId="9" state="hidden"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0" l="1"/>
  <c r="L11" i="10"/>
  <c r="K11" i="10"/>
  <c r="J11" i="10"/>
  <c r="I11" i="10"/>
  <c r="H11" i="10"/>
  <c r="G11" i="10"/>
  <c r="F11" i="10"/>
  <c r="E11" i="10"/>
  <c r="D11" i="10"/>
  <c r="C11" i="10"/>
  <c r="W14" i="16"/>
  <c r="W13" i="16"/>
  <c r="W12" i="16"/>
  <c r="W11" i="16"/>
  <c r="W10" i="16"/>
  <c r="W9" i="16"/>
  <c r="W8" i="16"/>
  <c r="W7" i="16"/>
  <c r="W6" i="16"/>
  <c r="U14" i="16"/>
  <c r="U13" i="16"/>
  <c r="U12" i="16"/>
  <c r="U11" i="16"/>
  <c r="U10" i="16"/>
  <c r="U9" i="16"/>
  <c r="U8" i="16"/>
  <c r="V13" i="16"/>
  <c r="V12" i="16"/>
  <c r="V11" i="16"/>
  <c r="V10" i="16"/>
  <c r="V9" i="16"/>
  <c r="V8" i="16"/>
  <c r="V7" i="16"/>
  <c r="V6" i="16"/>
  <c r="S14" i="16"/>
  <c r="S13" i="16"/>
  <c r="S12" i="16"/>
  <c r="S11" i="16"/>
  <c r="S10" i="16"/>
  <c r="S9" i="16"/>
  <c r="S8" i="16"/>
  <c r="S7" i="16"/>
  <c r="S6" i="16"/>
  <c r="U7" i="16"/>
  <c r="U6" i="16"/>
  <c r="L72" i="7" l="1"/>
  <c r="K72" i="7"/>
  <c r="J72" i="7"/>
  <c r="I72" i="7"/>
  <c r="H72" i="7"/>
  <c r="L71" i="7"/>
  <c r="K71" i="7"/>
  <c r="J71" i="7"/>
  <c r="I71" i="7"/>
  <c r="H71" i="7"/>
  <c r="G72" i="7"/>
  <c r="F72" i="7"/>
  <c r="E72" i="7"/>
  <c r="D72" i="7"/>
  <c r="C72" i="7"/>
  <c r="B72" i="7"/>
  <c r="G71" i="7"/>
  <c r="F71" i="7"/>
  <c r="E71" i="7"/>
  <c r="D71" i="7"/>
  <c r="C71" i="7"/>
  <c r="B71" i="7"/>
  <c r="M14" i="10"/>
  <c r="L14" i="10"/>
  <c r="K14" i="10"/>
  <c r="J14" i="10"/>
  <c r="I14" i="10"/>
  <c r="H14" i="10"/>
  <c r="G14" i="10"/>
  <c r="F14" i="10"/>
  <c r="E14" i="10"/>
  <c r="D14" i="10"/>
  <c r="C14" i="10"/>
  <c r="V5" i="2"/>
  <c r="U5" i="2"/>
  <c r="T5" i="2"/>
  <c r="S5" i="2"/>
  <c r="R5" i="2"/>
  <c r="Q5" i="2"/>
  <c r="P5" i="2"/>
  <c r="O5" i="2"/>
  <c r="N5" i="2"/>
  <c r="S20" i="16" s="1"/>
  <c r="Q4" i="16"/>
  <c r="W4" i="16"/>
  <c r="U28" i="16"/>
  <c r="U27" i="16"/>
  <c r="U26" i="16"/>
  <c r="U25" i="16"/>
  <c r="U24" i="16"/>
  <c r="U23" i="16"/>
  <c r="U22" i="16"/>
  <c r="U18" i="16"/>
  <c r="U19" i="16"/>
  <c r="R29" i="16"/>
  <c r="R28" i="16"/>
  <c r="R27" i="16"/>
  <c r="R26" i="16"/>
  <c r="R25" i="16"/>
  <c r="R24" i="16"/>
  <c r="R23" i="16"/>
  <c r="R22" i="16"/>
  <c r="R21" i="16"/>
  <c r="R20" i="16"/>
  <c r="R19" i="16"/>
  <c r="R18" i="16"/>
  <c r="O19" i="16"/>
  <c r="O18" i="16"/>
  <c r="W5" i="2" l="1"/>
  <c r="T20" i="16"/>
  <c r="U20" i="16" s="1"/>
  <c r="M38" i="1"/>
  <c r="D60" i="7"/>
  <c r="C60" i="7"/>
  <c r="B60" i="7"/>
  <c r="I37" i="7"/>
  <c r="I38" i="7" s="1"/>
  <c r="I36" i="7"/>
  <c r="H38" i="7"/>
  <c r="G38" i="7"/>
  <c r="F38" i="7"/>
  <c r="E38" i="7"/>
  <c r="D38" i="7"/>
  <c r="C38" i="7"/>
  <c r="B38" i="7"/>
  <c r="L51" i="1"/>
  <c r="K51" i="1"/>
  <c r="J51" i="1"/>
  <c r="I51" i="1"/>
  <c r="H51" i="1"/>
  <c r="G51" i="1"/>
  <c r="M35" i="2"/>
  <c r="M14" i="1"/>
  <c r="N14" i="1"/>
  <c r="O14" i="1"/>
  <c r="P14" i="1"/>
  <c r="Q14" i="1"/>
  <c r="R14" i="1"/>
  <c r="S14" i="1"/>
  <c r="T14" i="1"/>
  <c r="U14" i="1"/>
  <c r="V14" i="1"/>
  <c r="W14" i="1"/>
  <c r="L11" i="1" l="1"/>
  <c r="K11" i="1"/>
  <c r="J11" i="1"/>
  <c r="I11" i="1"/>
  <c r="H11" i="1"/>
  <c r="G11" i="1"/>
  <c r="F11" i="1"/>
  <c r="L10" i="1"/>
  <c r="K10" i="1"/>
  <c r="J10" i="1"/>
  <c r="I10" i="1"/>
  <c r="H10" i="1"/>
  <c r="G10" i="1"/>
  <c r="F10" i="1"/>
  <c r="E60" i="7" l="1"/>
  <c r="M12" i="10"/>
  <c r="L12" i="10"/>
  <c r="K12" i="10"/>
  <c r="J12" i="10"/>
  <c r="I12" i="10"/>
  <c r="H12" i="10"/>
  <c r="G12" i="10"/>
  <c r="F12" i="10"/>
  <c r="E12" i="10"/>
  <c r="D12" i="10"/>
  <c r="C12" i="10"/>
  <c r="F60" i="7" l="1"/>
  <c r="C27" i="10"/>
  <c r="M26" i="10"/>
  <c r="L26" i="10"/>
  <c r="K26" i="10"/>
  <c r="J26" i="10"/>
  <c r="I26" i="10"/>
  <c r="H26" i="10"/>
  <c r="G26" i="10"/>
  <c r="F26" i="10"/>
  <c r="E26" i="10"/>
  <c r="D26" i="10"/>
  <c r="C26" i="10"/>
  <c r="M25" i="10"/>
  <c r="L25" i="10"/>
  <c r="K25" i="10"/>
  <c r="J25" i="10"/>
  <c r="I25" i="10"/>
  <c r="H25" i="10"/>
  <c r="G25" i="10"/>
  <c r="F25" i="10"/>
  <c r="E25" i="10"/>
  <c r="D25" i="10"/>
  <c r="C25" i="10"/>
  <c r="M24" i="10"/>
  <c r="L24" i="10"/>
  <c r="K24" i="10"/>
  <c r="J24" i="10"/>
  <c r="I24" i="10"/>
  <c r="H24" i="10"/>
  <c r="G24" i="10"/>
  <c r="F24" i="10"/>
  <c r="E24" i="10"/>
  <c r="D24" i="10"/>
  <c r="C24" i="10"/>
  <c r="M23" i="10"/>
  <c r="L23" i="10"/>
  <c r="K23" i="10"/>
  <c r="J23" i="10"/>
  <c r="I23" i="10"/>
  <c r="H23" i="10"/>
  <c r="G23" i="10"/>
  <c r="F23" i="10"/>
  <c r="E23" i="10"/>
  <c r="D23" i="10"/>
  <c r="C23" i="10"/>
  <c r="M22" i="10"/>
  <c r="L22" i="10"/>
  <c r="K22" i="10"/>
  <c r="J22" i="10"/>
  <c r="I22" i="10"/>
  <c r="H22" i="10"/>
  <c r="G22" i="10"/>
  <c r="F22" i="10"/>
  <c r="E22" i="10"/>
  <c r="D22" i="10"/>
  <c r="C22" i="10"/>
  <c r="M21" i="10"/>
  <c r="L21" i="10"/>
  <c r="K21" i="10"/>
  <c r="J21" i="10"/>
  <c r="I21" i="10"/>
  <c r="H21" i="10"/>
  <c r="G21" i="10"/>
  <c r="F21" i="10"/>
  <c r="E21" i="10"/>
  <c r="D21" i="10"/>
  <c r="C21" i="10"/>
  <c r="M20" i="10"/>
  <c r="L20" i="10"/>
  <c r="K20" i="10"/>
  <c r="J20" i="10"/>
  <c r="I20" i="10"/>
  <c r="H20" i="10"/>
  <c r="G20" i="10"/>
  <c r="F20" i="10"/>
  <c r="E20" i="10"/>
  <c r="D20" i="10"/>
  <c r="C20" i="10"/>
  <c r="G60" i="7" l="1"/>
  <c r="C13" i="10"/>
  <c r="M15" i="1" s="1"/>
  <c r="H60" i="7" l="1"/>
  <c r="U34" i="1"/>
  <c r="Q34" i="1"/>
  <c r="P34" i="1"/>
  <c r="O34" i="1"/>
  <c r="N34" i="1"/>
  <c r="I60" i="7" l="1"/>
  <c r="D40" i="10"/>
  <c r="E40" i="10" s="1"/>
  <c r="C40" i="10"/>
  <c r="C33" i="10"/>
  <c r="C38" i="10" s="1"/>
  <c r="D38" i="10" s="1"/>
  <c r="D33" i="10" l="1"/>
  <c r="N28" i="1" s="1"/>
  <c r="E38" i="10"/>
  <c r="F40" i="10"/>
  <c r="E34" i="10"/>
  <c r="O29" i="1" s="1"/>
  <c r="D34" i="10"/>
  <c r="N29" i="1" s="1"/>
  <c r="J60" i="7"/>
  <c r="M15" i="10"/>
  <c r="L15" i="10"/>
  <c r="K15" i="10"/>
  <c r="J15" i="10"/>
  <c r="I15" i="10"/>
  <c r="H15" i="10"/>
  <c r="G15" i="10"/>
  <c r="F15" i="10"/>
  <c r="E15" i="10"/>
  <c r="D15" i="10"/>
  <c r="C15" i="10"/>
  <c r="F38" i="10" l="1"/>
  <c r="E33" i="10"/>
  <c r="O28" i="1" s="1"/>
  <c r="G40" i="10"/>
  <c r="F34" i="10"/>
  <c r="P29" i="1" s="1"/>
  <c r="K60" i="7"/>
  <c r="L60" i="7"/>
  <c r="R19" i="1"/>
  <c r="S19" i="1" s="1"/>
  <c r="T19" i="1" s="1"/>
  <c r="U19" i="1" s="1"/>
  <c r="V19" i="1" s="1"/>
  <c r="W19" i="1" s="1"/>
  <c r="Q19" i="1"/>
  <c r="G38" i="10" l="1"/>
  <c r="F33" i="10"/>
  <c r="P28" i="1" s="1"/>
  <c r="H40" i="10"/>
  <c r="G34" i="10"/>
  <c r="Q29" i="1" s="1"/>
  <c r="N38" i="1"/>
  <c r="H38" i="10" l="1"/>
  <c r="G33" i="10"/>
  <c r="Q28" i="1" s="1"/>
  <c r="I40" i="10"/>
  <c r="H34" i="10"/>
  <c r="R29" i="1" s="1"/>
  <c r="F35" i="10"/>
  <c r="P27" i="1" s="1"/>
  <c r="E35" i="10"/>
  <c r="O27" i="1" s="1"/>
  <c r="D35" i="10"/>
  <c r="N27" i="1" s="1"/>
  <c r="C35" i="10"/>
  <c r="M27" i="1" s="1"/>
  <c r="C28" i="10"/>
  <c r="I38" i="10" l="1"/>
  <c r="H33" i="10"/>
  <c r="G35" i="10"/>
  <c r="Q27" i="1" s="1"/>
  <c r="J40" i="10"/>
  <c r="I34" i="10"/>
  <c r="S29" i="1" s="1"/>
  <c r="M25" i="1"/>
  <c r="M16" i="1"/>
  <c r="M18" i="2"/>
  <c r="J38" i="10" l="1"/>
  <c r="I33" i="10"/>
  <c r="K40" i="10"/>
  <c r="J34" i="10"/>
  <c r="T29" i="1" s="1"/>
  <c r="R28" i="1"/>
  <c r="H35" i="10"/>
  <c r="R27" i="1" s="1"/>
  <c r="I18" i="16"/>
  <c r="C7" i="10"/>
  <c r="M5" i="2"/>
  <c r="K4" i="16" s="1"/>
  <c r="D23" i="7"/>
  <c r="D22" i="7"/>
  <c r="D21" i="7"/>
  <c r="D20" i="7"/>
  <c r="D19" i="7"/>
  <c r="D18" i="7"/>
  <c r="D17" i="7"/>
  <c r="L27" i="1"/>
  <c r="K27" i="1"/>
  <c r="J27" i="1"/>
  <c r="I27" i="1"/>
  <c r="H27" i="1"/>
  <c r="G27" i="1"/>
  <c r="F27" i="1"/>
  <c r="C23" i="7"/>
  <c r="C22" i="7"/>
  <c r="C21" i="7"/>
  <c r="C20" i="7"/>
  <c r="C19" i="7"/>
  <c r="C18" i="7"/>
  <c r="C17" i="7"/>
  <c r="L40" i="10" l="1"/>
  <c r="K34" i="10"/>
  <c r="U29" i="1" s="1"/>
  <c r="S28" i="1"/>
  <c r="I35" i="10"/>
  <c r="S27" i="1" s="1"/>
  <c r="K38" i="10"/>
  <c r="J33" i="10"/>
  <c r="C8" i="10"/>
  <c r="K18" i="16"/>
  <c r="I4" i="16"/>
  <c r="C6" i="10"/>
  <c r="O32" i="1"/>
  <c r="M25" i="2"/>
  <c r="N25" i="2" s="1"/>
  <c r="N35" i="2"/>
  <c r="O35" i="2" s="1"/>
  <c r="P35" i="2" s="1"/>
  <c r="Q35" i="2" s="1"/>
  <c r="R35" i="2" s="1"/>
  <c r="S35" i="2" s="1"/>
  <c r="T35" i="2" s="1"/>
  <c r="U35" i="2" s="1"/>
  <c r="V35" i="2" s="1"/>
  <c r="W35" i="2" s="1"/>
  <c r="L36" i="2"/>
  <c r="K36" i="2"/>
  <c r="J36" i="2"/>
  <c r="I36" i="2"/>
  <c r="H36" i="2"/>
  <c r="G36" i="2"/>
  <c r="L26" i="2"/>
  <c r="K26" i="2"/>
  <c r="J26" i="2"/>
  <c r="I26" i="2"/>
  <c r="H26" i="2"/>
  <c r="L22" i="2"/>
  <c r="K22" i="2"/>
  <c r="J22" i="2"/>
  <c r="I22" i="2"/>
  <c r="H22" i="2"/>
  <c r="G22" i="2"/>
  <c r="L19" i="2"/>
  <c r="K19" i="2"/>
  <c r="J19" i="2"/>
  <c r="I19" i="2"/>
  <c r="L16" i="2"/>
  <c r="K16" i="2"/>
  <c r="J16" i="2"/>
  <c r="I16" i="2"/>
  <c r="H16" i="2"/>
  <c r="G16" i="2"/>
  <c r="L13" i="2"/>
  <c r="K13" i="2"/>
  <c r="J13" i="2"/>
  <c r="I13" i="2"/>
  <c r="H13" i="2"/>
  <c r="G13" i="2"/>
  <c r="G10" i="2"/>
  <c r="L10" i="2"/>
  <c r="K10" i="2"/>
  <c r="J10" i="2"/>
  <c r="I10" i="2"/>
  <c r="H10" i="2"/>
  <c r="L6" i="2"/>
  <c r="K6" i="2"/>
  <c r="J6" i="2"/>
  <c r="I6" i="2"/>
  <c r="F51" i="1"/>
  <c r="N33" i="1"/>
  <c r="T28" i="1" l="1"/>
  <c r="J35" i="10"/>
  <c r="T27" i="1" s="1"/>
  <c r="L38" i="10"/>
  <c r="K33" i="10"/>
  <c r="M40" i="10"/>
  <c r="M34" i="10" s="1"/>
  <c r="W29" i="1" s="1"/>
  <c r="L34" i="10"/>
  <c r="V29" i="1" s="1"/>
  <c r="O25" i="2"/>
  <c r="N32" i="2"/>
  <c r="N18" i="2" s="1"/>
  <c r="L4" i="16"/>
  <c r="J4" i="16" s="1"/>
  <c r="P4" i="16" s="1"/>
  <c r="P32" i="1"/>
  <c r="O38" i="1"/>
  <c r="F8" i="9"/>
  <c r="F9" i="9"/>
  <c r="F10" i="9"/>
  <c r="F11" i="9"/>
  <c r="D3" i="9"/>
  <c r="F3" i="9"/>
  <c r="D4" i="9"/>
  <c r="F4" i="9"/>
  <c r="F5" i="9"/>
  <c r="I13" i="7"/>
  <c r="H13" i="7"/>
  <c r="G13" i="7"/>
  <c r="F13" i="7"/>
  <c r="E13" i="7"/>
  <c r="D13" i="7"/>
  <c r="C13" i="7"/>
  <c r="L26" i="1"/>
  <c r="K26" i="1"/>
  <c r="J26" i="1"/>
  <c r="I26" i="1"/>
  <c r="H26" i="1"/>
  <c r="G26" i="1"/>
  <c r="F26" i="1"/>
  <c r="M38" i="10" l="1"/>
  <c r="M33" i="10" s="1"/>
  <c r="L33" i="10"/>
  <c r="U28" i="1"/>
  <c r="K35" i="10"/>
  <c r="U27" i="1" s="1"/>
  <c r="I19" i="16"/>
  <c r="P25" i="2"/>
  <c r="O32" i="2"/>
  <c r="O18" i="2" s="1"/>
  <c r="I20" i="16" s="1"/>
  <c r="T4" i="16"/>
  <c r="C5" i="10" s="1"/>
  <c r="C4" i="10"/>
  <c r="Q32" i="1"/>
  <c r="P38" i="1"/>
  <c r="V28" i="1" l="1"/>
  <c r="L35" i="10"/>
  <c r="V27" i="1" s="1"/>
  <c r="W28" i="1"/>
  <c r="M35" i="10"/>
  <c r="W27" i="1" s="1"/>
  <c r="K20" i="16"/>
  <c r="M20" i="16"/>
  <c r="P20" i="16" s="1"/>
  <c r="L20" i="16"/>
  <c r="O20" i="16" s="1"/>
  <c r="N20" i="16"/>
  <c r="Q20" i="16" s="1"/>
  <c r="K19" i="16"/>
  <c r="Q25" i="2"/>
  <c r="P32" i="2"/>
  <c r="P18" i="2" s="1"/>
  <c r="I21" i="16" s="1"/>
  <c r="K5" i="16"/>
  <c r="N24" i="1"/>
  <c r="D27" i="10" s="1"/>
  <c r="D28" i="10" s="1"/>
  <c r="N16" i="1" s="1"/>
  <c r="N6" i="2"/>
  <c r="I5" i="16"/>
  <c r="C17" i="10"/>
  <c r="D13" i="10"/>
  <c r="N15" i="1" s="1"/>
  <c r="X4" i="16"/>
  <c r="R32" i="1"/>
  <c r="Q38" i="1"/>
  <c r="C30" i="10" l="1"/>
  <c r="B70" i="7"/>
  <c r="S21" i="16"/>
  <c r="T21" i="16"/>
  <c r="K21" i="16"/>
  <c r="M21" i="16"/>
  <c r="P21" i="16" s="1"/>
  <c r="L21" i="16"/>
  <c r="O21" i="16" s="1"/>
  <c r="N21" i="16"/>
  <c r="Q21" i="16" s="1"/>
  <c r="N25" i="1"/>
  <c r="K6" i="16"/>
  <c r="R6" i="16" s="1"/>
  <c r="O24" i="1"/>
  <c r="E27" i="10" s="1"/>
  <c r="E28" i="10" s="1"/>
  <c r="O25" i="1" s="1"/>
  <c r="O6" i="2"/>
  <c r="I6" i="16"/>
  <c r="Q5" i="16"/>
  <c r="D8" i="10" s="1"/>
  <c r="D10" i="10"/>
  <c r="D9" i="10"/>
  <c r="R25" i="2"/>
  <c r="Q32" i="2"/>
  <c r="Q18" i="2" s="1"/>
  <c r="I22" i="16" s="1"/>
  <c r="L5" i="16"/>
  <c r="M12" i="1"/>
  <c r="M26" i="1" s="1"/>
  <c r="S32" i="1"/>
  <c r="R38" i="1"/>
  <c r="C37" i="10" l="1"/>
  <c r="B73" i="7" s="1"/>
  <c r="B67" i="7"/>
  <c r="M6" i="16"/>
  <c r="N6" i="16"/>
  <c r="U21" i="16"/>
  <c r="O16" i="1"/>
  <c r="N22" i="16"/>
  <c r="Q22" i="16" s="1"/>
  <c r="M22" i="16"/>
  <c r="P22" i="16" s="1"/>
  <c r="L22" i="16"/>
  <c r="O22" i="16" s="1"/>
  <c r="K22" i="16"/>
  <c r="T5" i="16"/>
  <c r="D5" i="10" s="1"/>
  <c r="J5" i="16"/>
  <c r="W5" i="16" s="1"/>
  <c r="P24" i="1"/>
  <c r="F27" i="10" s="1"/>
  <c r="F28" i="10" s="1"/>
  <c r="P16" i="1" s="1"/>
  <c r="K7" i="16"/>
  <c r="P6" i="2"/>
  <c r="I7" i="16"/>
  <c r="N7" i="16" s="1"/>
  <c r="S25" i="2"/>
  <c r="R32" i="2"/>
  <c r="R18" i="2" s="1"/>
  <c r="I23" i="16" s="1"/>
  <c r="L6" i="16"/>
  <c r="T6" i="16" s="1"/>
  <c r="E5" i="10" s="1"/>
  <c r="E6" i="10"/>
  <c r="Q6" i="16"/>
  <c r="E8" i="10" s="1"/>
  <c r="E10" i="10"/>
  <c r="E9" i="10"/>
  <c r="F13" i="10"/>
  <c r="P15" i="1" s="1"/>
  <c r="E13" i="10"/>
  <c r="O15" i="1" s="1"/>
  <c r="T32" i="1"/>
  <c r="S38" i="1"/>
  <c r="F10" i="10" l="1"/>
  <c r="R7" i="16"/>
  <c r="F9" i="10" s="1"/>
  <c r="K23" i="16"/>
  <c r="N23" i="16"/>
  <c r="Q23" i="16" s="1"/>
  <c r="M23" i="16"/>
  <c r="P23" i="16" s="1"/>
  <c r="L23" i="16"/>
  <c r="O23" i="16" s="1"/>
  <c r="P25" i="1"/>
  <c r="J6" i="16"/>
  <c r="E7" i="10" s="1"/>
  <c r="T25" i="2"/>
  <c r="S32" i="2"/>
  <c r="S18" i="2" s="1"/>
  <c r="I24" i="16" s="1"/>
  <c r="Q24" i="1"/>
  <c r="G27" i="10" s="1"/>
  <c r="G28" i="10" s="1"/>
  <c r="Q25" i="1" s="1"/>
  <c r="I8" i="16"/>
  <c r="N8" i="16" s="1"/>
  <c r="Q6" i="2"/>
  <c r="K8" i="16"/>
  <c r="Q7" i="16"/>
  <c r="F8" i="10" s="1"/>
  <c r="L7" i="16"/>
  <c r="T7" i="16" s="1"/>
  <c r="F5" i="10" s="1"/>
  <c r="M7" i="16"/>
  <c r="F6" i="10" s="1"/>
  <c r="P5" i="16"/>
  <c r="D6" i="10"/>
  <c r="D7" i="10"/>
  <c r="P6" i="16"/>
  <c r="U32" i="1"/>
  <c r="T38" i="1"/>
  <c r="G10" i="10" l="1"/>
  <c r="R8" i="16"/>
  <c r="G9" i="10" s="1"/>
  <c r="Q16" i="1"/>
  <c r="K24" i="16"/>
  <c r="L24" i="16"/>
  <c r="O24" i="16" s="1"/>
  <c r="N24" i="16"/>
  <c r="Q24" i="16" s="1"/>
  <c r="M24" i="16"/>
  <c r="P24" i="16" s="1"/>
  <c r="J7" i="16"/>
  <c r="P7" i="16" s="1"/>
  <c r="F4" i="10" s="1"/>
  <c r="E4" i="10"/>
  <c r="E17" i="10" s="1"/>
  <c r="X6" i="16"/>
  <c r="Q8" i="16"/>
  <c r="G8" i="10" s="1"/>
  <c r="D4" i="10"/>
  <c r="D17" i="10" s="1"/>
  <c r="C70" i="7" s="1"/>
  <c r="X5" i="16"/>
  <c r="R24" i="1"/>
  <c r="H27" i="10" s="1"/>
  <c r="H28" i="10" s="1"/>
  <c r="R16" i="1" s="1"/>
  <c r="K9" i="16"/>
  <c r="I9" i="16"/>
  <c r="N9" i="16" s="1"/>
  <c r="R6" i="2"/>
  <c r="L8" i="16"/>
  <c r="T8" i="16" s="1"/>
  <c r="G5" i="10" s="1"/>
  <c r="M8" i="16"/>
  <c r="G6" i="10" s="1"/>
  <c r="U25" i="2"/>
  <c r="T32" i="2"/>
  <c r="T18" i="2" s="1"/>
  <c r="I25" i="16" s="1"/>
  <c r="G13" i="10"/>
  <c r="Q15" i="1" s="1"/>
  <c r="V32" i="1"/>
  <c r="U38" i="1"/>
  <c r="E30" i="10" l="1"/>
  <c r="D70" i="7"/>
  <c r="R9" i="16"/>
  <c r="H9" i="10" s="1"/>
  <c r="M25" i="16"/>
  <c r="P25" i="16" s="1"/>
  <c r="L25" i="16"/>
  <c r="O25" i="16" s="1"/>
  <c r="N25" i="16"/>
  <c r="Q25" i="16" s="1"/>
  <c r="O12" i="1"/>
  <c r="O26" i="1" s="1"/>
  <c r="F7" i="10"/>
  <c r="F17" i="10" s="1"/>
  <c r="K25" i="16"/>
  <c r="R25" i="1"/>
  <c r="V25" i="2"/>
  <c r="U32" i="2"/>
  <c r="U18" i="2" s="1"/>
  <c r="I26" i="16" s="1"/>
  <c r="K10" i="16"/>
  <c r="S24" i="1"/>
  <c r="I27" i="10" s="1"/>
  <c r="I28" i="10" s="1"/>
  <c r="S25" i="1" s="1"/>
  <c r="I10" i="16"/>
  <c r="N10" i="16" s="1"/>
  <c r="S6" i="2"/>
  <c r="Q9" i="16"/>
  <c r="H8" i="10" s="1"/>
  <c r="H10" i="10"/>
  <c r="N12" i="1"/>
  <c r="N26" i="1" s="1"/>
  <c r="D30" i="10"/>
  <c r="J8" i="16"/>
  <c r="M9" i="16"/>
  <c r="H6" i="10" s="1"/>
  <c r="L9" i="16"/>
  <c r="H13" i="10"/>
  <c r="R15" i="1" s="1"/>
  <c r="W32" i="1"/>
  <c r="W38" i="1" s="1"/>
  <c r="V38" i="1"/>
  <c r="D37" i="10" l="1"/>
  <c r="C73" i="7" s="1"/>
  <c r="C67" i="7"/>
  <c r="F30" i="10"/>
  <c r="E70" i="7"/>
  <c r="E37" i="10"/>
  <c r="D73" i="7" s="1"/>
  <c r="D67" i="7"/>
  <c r="I10" i="10"/>
  <c r="R10" i="16"/>
  <c r="K26" i="16"/>
  <c r="N26" i="16"/>
  <c r="Q26" i="16" s="1"/>
  <c r="M26" i="16"/>
  <c r="P26" i="16" s="1"/>
  <c r="L26" i="16"/>
  <c r="O26" i="16" s="1"/>
  <c r="X7" i="16"/>
  <c r="P12" i="1"/>
  <c r="P26" i="1" s="1"/>
  <c r="S16" i="1"/>
  <c r="I9" i="10"/>
  <c r="Q10" i="16"/>
  <c r="I8" i="10" s="1"/>
  <c r="P8" i="16"/>
  <c r="G7" i="10"/>
  <c r="L10" i="16"/>
  <c r="T10" i="16" s="1"/>
  <c r="I5" i="10" s="1"/>
  <c r="M10" i="16"/>
  <c r="I6" i="10" s="1"/>
  <c r="T9" i="16"/>
  <c r="J9" i="16"/>
  <c r="H7" i="10" s="1"/>
  <c r="T24" i="1"/>
  <c r="J27" i="10" s="1"/>
  <c r="J28" i="10" s="1"/>
  <c r="T16" i="1" s="1"/>
  <c r="I11" i="16"/>
  <c r="N11" i="16" s="1"/>
  <c r="K11" i="16"/>
  <c r="T6" i="2"/>
  <c r="W25" i="2"/>
  <c r="W32" i="2" s="1"/>
  <c r="V32" i="2"/>
  <c r="V18" i="2" s="1"/>
  <c r="I27" i="16" s="1"/>
  <c r="J13" i="10"/>
  <c r="T15" i="1" s="1"/>
  <c r="I13" i="10"/>
  <c r="S15" i="1" s="1"/>
  <c r="F37" i="10" l="1"/>
  <c r="E73" i="7" s="1"/>
  <c r="E67" i="7"/>
  <c r="J10" i="10"/>
  <c r="R11" i="16"/>
  <c r="J9" i="10" s="1"/>
  <c r="T25" i="1"/>
  <c r="K27" i="16"/>
  <c r="N27" i="16"/>
  <c r="Q27" i="16" s="1"/>
  <c r="M27" i="16"/>
  <c r="P27" i="16" s="1"/>
  <c r="L27" i="16"/>
  <c r="O27" i="16" s="1"/>
  <c r="J10" i="16"/>
  <c r="I7" i="10" s="1"/>
  <c r="W18" i="2"/>
  <c r="I28" i="16" s="1"/>
  <c r="L11" i="16"/>
  <c r="T11" i="16" s="1"/>
  <c r="J5" i="10" s="1"/>
  <c r="M11" i="16"/>
  <c r="J6" i="10" s="1"/>
  <c r="Q11" i="16"/>
  <c r="J8" i="10" s="1"/>
  <c r="K12" i="16"/>
  <c r="U6" i="2"/>
  <c r="U24" i="1"/>
  <c r="K27" i="10" s="1"/>
  <c r="K28" i="10" s="1"/>
  <c r="U25" i="1" s="1"/>
  <c r="I12" i="16"/>
  <c r="N12" i="16" s="1"/>
  <c r="G4" i="10"/>
  <c r="G17" i="10" s="1"/>
  <c r="F70" i="7" s="1"/>
  <c r="X8" i="16"/>
  <c r="P10" i="16" l="1"/>
  <c r="I4" i="10" s="1"/>
  <c r="I17" i="10" s="1"/>
  <c r="J11" i="16"/>
  <c r="K10" i="10"/>
  <c r="R12" i="16"/>
  <c r="K9" i="10" s="1"/>
  <c r="L28" i="16"/>
  <c r="O28" i="16" s="1"/>
  <c r="N28" i="16"/>
  <c r="Q28" i="16" s="1"/>
  <c r="M28" i="16"/>
  <c r="P28" i="16" s="1"/>
  <c r="U16" i="1"/>
  <c r="Q12" i="16"/>
  <c r="K8" i="10" s="1"/>
  <c r="K13" i="16"/>
  <c r="V6" i="2"/>
  <c r="V24" i="1"/>
  <c r="L27" i="10" s="1"/>
  <c r="L28" i="10" s="1"/>
  <c r="V16" i="1" s="1"/>
  <c r="I13" i="16"/>
  <c r="N13" i="16" s="1"/>
  <c r="L12" i="16"/>
  <c r="T12" i="16" s="1"/>
  <c r="K5" i="10" s="1"/>
  <c r="M12" i="16"/>
  <c r="K6" i="10" s="1"/>
  <c r="G30" i="10"/>
  <c r="Q12" i="1"/>
  <c r="Q26" i="1" s="1"/>
  <c r="P11" i="16"/>
  <c r="J7" i="10"/>
  <c r="K28" i="16"/>
  <c r="K13" i="10"/>
  <c r="U15" i="1" s="1"/>
  <c r="S12" i="1" l="1"/>
  <c r="S26" i="1" s="1"/>
  <c r="H70" i="7"/>
  <c r="G37" i="10"/>
  <c r="F73" i="7" s="1"/>
  <c r="F67" i="7"/>
  <c r="X10" i="16"/>
  <c r="L10" i="10"/>
  <c r="R13" i="16"/>
  <c r="L9" i="10" s="1"/>
  <c r="J12" i="16"/>
  <c r="M13" i="10"/>
  <c r="W15" i="1" s="1"/>
  <c r="V25" i="1"/>
  <c r="I30" i="10"/>
  <c r="P12" i="16"/>
  <c r="K7" i="10"/>
  <c r="Q13" i="16"/>
  <c r="L8" i="10" s="1"/>
  <c r="W24" i="1"/>
  <c r="M27" i="10" s="1"/>
  <c r="M28" i="10" s="1"/>
  <c r="W6" i="2"/>
  <c r="I14" i="16"/>
  <c r="N14" i="16" s="1"/>
  <c r="V14" i="16" s="1"/>
  <c r="K14" i="16"/>
  <c r="L13" i="16"/>
  <c r="T13" i="16" s="1"/>
  <c r="M13" i="16"/>
  <c r="L6" i="10" s="1"/>
  <c r="J4" i="10"/>
  <c r="J17" i="10" s="1"/>
  <c r="X11" i="16"/>
  <c r="L13" i="10"/>
  <c r="V15" i="1" s="1"/>
  <c r="J30" i="10" l="1"/>
  <c r="I70" i="7"/>
  <c r="I37" i="10"/>
  <c r="H73" i="7" s="1"/>
  <c r="H67" i="7"/>
  <c r="M10" i="10"/>
  <c r="R14" i="16"/>
  <c r="M9" i="10" s="1"/>
  <c r="Q14" i="16"/>
  <c r="M8" i="10" s="1"/>
  <c r="J13" i="16"/>
  <c r="L7" i="10" s="1"/>
  <c r="T12" i="1"/>
  <c r="T26" i="1" s="1"/>
  <c r="L14" i="16"/>
  <c r="T14" i="16" s="1"/>
  <c r="M14" i="16"/>
  <c r="M6" i="10" s="1"/>
  <c r="K4" i="10"/>
  <c r="K17" i="10" s="1"/>
  <c r="X12" i="16"/>
  <c r="W25" i="1"/>
  <c r="W16" i="1"/>
  <c r="U12" i="1" l="1"/>
  <c r="U26" i="1" s="1"/>
  <c r="J70" i="7"/>
  <c r="J37" i="10"/>
  <c r="I73" i="7" s="1"/>
  <c r="I67" i="7"/>
  <c r="J14" i="16"/>
  <c r="P14" i="16" s="1"/>
  <c r="M4" i="10" s="1"/>
  <c r="K30" i="10"/>
  <c r="M5" i="10"/>
  <c r="M7" i="10"/>
  <c r="P9" i="16"/>
  <c r="H5" i="10"/>
  <c r="K37" i="10" l="1"/>
  <c r="J73" i="7" s="1"/>
  <c r="J67" i="7"/>
  <c r="M17" i="10"/>
  <c r="X14" i="16"/>
  <c r="X9" i="16"/>
  <c r="H4" i="10"/>
  <c r="H17" i="10" s="1"/>
  <c r="G70" i="7" s="1"/>
  <c r="W12" i="1" l="1"/>
  <c r="W26" i="1" s="1"/>
  <c r="L70" i="7"/>
  <c r="M30" i="10"/>
  <c r="H30" i="10"/>
  <c r="R12" i="1"/>
  <c r="R26" i="1" s="1"/>
  <c r="L5" i="10"/>
  <c r="P13" i="16"/>
  <c r="M37" i="10" l="1"/>
  <c r="L73" i="7" s="1"/>
  <c r="L67" i="7"/>
  <c r="H37" i="10"/>
  <c r="G73" i="7" s="1"/>
  <c r="G67" i="7"/>
  <c r="L4" i="10"/>
  <c r="L17" i="10" s="1"/>
  <c r="K70" i="7" s="1"/>
  <c r="X13" i="16"/>
  <c r="L30" i="10" l="1"/>
  <c r="V12" i="1"/>
  <c r="V26" i="1" s="1"/>
  <c r="L37" i="10" l="1"/>
  <c r="K73" i="7" s="1"/>
  <c r="K67" i="7"/>
</calcChain>
</file>

<file path=xl/comments1.xml><?xml version="1.0" encoding="utf-8"?>
<comments xmlns="http://schemas.openxmlformats.org/spreadsheetml/2006/main">
  <authors>
    <author>Jorge Perez</author>
  </authors>
  <commentList>
    <comment ref="N28" authorId="0" shapeId="0">
      <text>
        <r>
          <rPr>
            <b/>
            <sz val="9"/>
            <color indexed="81"/>
            <rFont val="Tahoma"/>
            <family val="2"/>
          </rPr>
          <t>Jorge Perez:</t>
        </r>
        <r>
          <rPr>
            <sz val="9"/>
            <color indexed="81"/>
            <rFont val="Tahoma"/>
            <family val="2"/>
          </rPr>
          <t xml:space="preserve">
Thisnow feeding  from the Budget Projection Worksheet</t>
        </r>
      </text>
    </comment>
    <comment ref="E31" authorId="0" shapeId="0">
      <text>
        <r>
          <rPr>
            <b/>
            <sz val="9"/>
            <color indexed="81"/>
            <rFont val="Tahoma"/>
            <family val="2"/>
          </rPr>
          <t>Jorge Perez:</t>
        </r>
        <r>
          <rPr>
            <sz val="9"/>
            <color indexed="81"/>
            <rFont val="Tahoma"/>
            <family val="2"/>
          </rPr>
          <t xml:space="preserve">
Not Sure why this row exists it seem duplicative
</t>
        </r>
      </text>
    </comment>
    <comment ref="M31" authorId="0" shapeId="0">
      <text>
        <r>
          <rPr>
            <b/>
            <sz val="9"/>
            <color indexed="81"/>
            <rFont val="Tahoma"/>
            <family val="2"/>
          </rPr>
          <t>Jorge Perez:</t>
        </r>
        <r>
          <rPr>
            <sz val="9"/>
            <color indexed="81"/>
            <rFont val="Tahoma"/>
            <family val="2"/>
          </rPr>
          <t xml:space="preserve">
Row 31 can beDeleted it has no dependants and the same information is in row 32
</t>
        </r>
      </text>
    </comment>
    <comment ref="O34" authorId="0" shapeId="0">
      <text>
        <r>
          <rPr>
            <b/>
            <sz val="9"/>
            <color indexed="81"/>
            <rFont val="Tahoma"/>
            <family val="2"/>
          </rPr>
          <t>Jorge Perez:</t>
        </r>
        <r>
          <rPr>
            <sz val="9"/>
            <color indexed="81"/>
            <rFont val="Tahoma"/>
            <family val="2"/>
          </rPr>
          <t xml:space="preserve">
This is feeding from the assumptions &amp;Forecast Tab</t>
        </r>
      </text>
    </comment>
  </commentList>
</comments>
</file>

<file path=xl/sharedStrings.xml><?xml version="1.0" encoding="utf-8"?>
<sst xmlns="http://schemas.openxmlformats.org/spreadsheetml/2006/main" count="815" uniqueCount="496">
  <si>
    <t xml:space="preserve">Financial </t>
  </si>
  <si>
    <t xml:space="preserve">Social </t>
  </si>
  <si>
    <t xml:space="preserve">Objective </t>
  </si>
  <si>
    <t xml:space="preserve">LLLT PROGRAM KPI </t>
  </si>
  <si>
    <t xml:space="preserve">Metric </t>
  </si>
  <si>
    <t>Operate within approved budget</t>
  </si>
  <si>
    <t xml:space="preserve">Actual </t>
  </si>
  <si>
    <t>Budgeted</t>
  </si>
  <si>
    <t>FY13</t>
  </si>
  <si>
    <t>FY14</t>
  </si>
  <si>
    <t>FY15</t>
  </si>
  <si>
    <t>FY16</t>
  </si>
  <si>
    <t>FY17</t>
  </si>
  <si>
    <t>FY18</t>
  </si>
  <si>
    <t>FY19</t>
  </si>
  <si>
    <t>FY20</t>
  </si>
  <si>
    <t>Equal or less than 100%</t>
  </si>
  <si>
    <t>FY21</t>
  </si>
  <si>
    <t>FY22</t>
  </si>
  <si>
    <t>FY23</t>
  </si>
  <si>
    <t xml:space="preserve">Increase revenue </t>
  </si>
  <si>
    <t>More than prior FY</t>
  </si>
  <si>
    <t>Pipeline</t>
  </si>
  <si>
    <t>Description</t>
  </si>
  <si>
    <t xml:space="preserve">Increase the social impact LLLTs are having in their communities </t>
  </si>
  <si>
    <t>Cover direct costs with revenue</t>
  </si>
  <si>
    <t>% of budget used</t>
  </si>
  <si>
    <t>MMP</t>
  </si>
  <si>
    <t>Difference</t>
  </si>
  <si>
    <t>N/A</t>
  </si>
  <si>
    <t>Comparison</t>
  </si>
  <si>
    <t>$175 / 0%</t>
  </si>
  <si>
    <t>$200 / 14%</t>
  </si>
  <si>
    <t>$200 / 0%</t>
  </si>
  <si>
    <t>$229 / 15%</t>
  </si>
  <si>
    <t xml:space="preserve">LLLT license fee / % increase or decrease </t>
  </si>
  <si>
    <t>$200 / 82%</t>
  </si>
  <si>
    <t>$325 / 0%</t>
  </si>
  <si>
    <t>$385 / 18%</t>
  </si>
  <si>
    <t>$385 / 0%</t>
  </si>
  <si>
    <t>$449 / 17%</t>
  </si>
  <si>
    <t>$453 / 1%</t>
  </si>
  <si>
    <t>$458 / 1%</t>
  </si>
  <si>
    <t>$458 / 0%</t>
  </si>
  <si>
    <t>CPF Assessment / % increase or decrease</t>
  </si>
  <si>
    <t xml:space="preserve">CPF Assessment </t>
  </si>
  <si>
    <t xml:space="preserve">CPF Assessment / %increase or decrease </t>
  </si>
  <si>
    <t xml:space="preserve">LPO license fee / % increase or decrease </t>
  </si>
  <si>
    <t xml:space="preserve">Lawyer license fee / % increase or decrease </t>
  </si>
  <si>
    <t>1003 / -2%</t>
  </si>
  <si>
    <t>963 / -1%</t>
  </si>
  <si>
    <t>950 / -1%</t>
  </si>
  <si>
    <t>378 / -7%</t>
  </si>
  <si>
    <t>322 / -15%</t>
  </si>
  <si>
    <t>312 / -3%</t>
  </si>
  <si>
    <t>282 / -10%</t>
  </si>
  <si>
    <t>67 / 12%</t>
  </si>
  <si>
    <t>71 / 6%</t>
  </si>
  <si>
    <t>72 / 1%</t>
  </si>
  <si>
    <t>Licensed Paralegal Practitioners (Utah)</t>
  </si>
  <si>
    <t xml:space="preserve">Increase the number of practice area students </t>
  </si>
  <si>
    <t>Increase the number of people interested in the LLLT license</t>
  </si>
  <si>
    <t>≥ than previous year</t>
  </si>
  <si>
    <t>Increase the number of presentations</t>
  </si>
  <si>
    <t xml:space="preserve">Increase the number of schools offering the core curriculum </t>
  </si>
  <si>
    <t>Increase the number of schools offering the practice area classes</t>
  </si>
  <si>
    <t>Number of practice area schools</t>
  </si>
  <si>
    <t xml:space="preserve">Increase the number of practice areas </t>
  </si>
  <si>
    <t>Practice areas</t>
  </si>
  <si>
    <t>Increase the number of waivers granted</t>
  </si>
  <si>
    <t xml:space="preserve">unknown </t>
  </si>
  <si>
    <t>LLLTs signed up for MMP / % of active LLLTs signed up for MMP</t>
  </si>
  <si>
    <t>Lawyers reporting family law as their only area of practice</t>
  </si>
  <si>
    <t xml:space="preserve">Ensure protection of the public </t>
  </si>
  <si>
    <t>CPF paid out (gifts made to LLLT clients )</t>
  </si>
  <si>
    <t>Ensure protection of the public (demonstrated by insurance)</t>
  </si>
  <si>
    <t>100% of active LLLTs are insured</t>
  </si>
  <si>
    <t>LLLTs who are WSBA volunteers</t>
  </si>
  <si>
    <t>LLLTs who presented at WSBA CLEs</t>
  </si>
  <si>
    <t>Engagement</t>
  </si>
  <si>
    <t>ACTUALS</t>
  </si>
  <si>
    <t>974 / 3%</t>
  </si>
  <si>
    <t>285 / 1%</t>
  </si>
  <si>
    <t>16 / -20%</t>
  </si>
  <si>
    <t>22 / 38%</t>
  </si>
  <si>
    <t>12 / -45%</t>
  </si>
  <si>
    <t>15 / 36%</t>
  </si>
  <si>
    <t>3 / -70%</t>
  </si>
  <si>
    <t>15 / 400%</t>
  </si>
  <si>
    <t>1 / -80%</t>
  </si>
  <si>
    <t>2 / 100%</t>
  </si>
  <si>
    <t xml:space="preserve">*According to the WSBA Context Chart, there were 95 law clerks in 2017. However, we have later determined that this number is not accurate. There were actually 75 law clerks in 2017. </t>
  </si>
  <si>
    <t xml:space="preserve">LPOs </t>
  </si>
  <si>
    <t>Rule 9s</t>
  </si>
  <si>
    <t xml:space="preserve">Law Clerks </t>
  </si>
  <si>
    <t xml:space="preserve"> LLLTs </t>
  </si>
  <si>
    <t>PROJECTIONS</t>
  </si>
  <si>
    <t>Revenue minus direct costs</t>
  </si>
  <si>
    <t>$110 / 0%</t>
  </si>
  <si>
    <t>$30 / 0%</t>
  </si>
  <si>
    <t>Number of active LLLTs</t>
  </si>
  <si>
    <t>Pro bono hours*</t>
  </si>
  <si>
    <t xml:space="preserve"> % active LLLTs reporting pro bono hours</t>
  </si>
  <si>
    <t xml:space="preserve"> % of active LLLTs that are insured </t>
  </si>
  <si>
    <t>$25 / -16%</t>
  </si>
  <si>
    <t>FY24</t>
  </si>
  <si>
    <t>FY25</t>
  </si>
  <si>
    <t>981 / 1%</t>
  </si>
  <si>
    <t>81 / 0%</t>
  </si>
  <si>
    <t>unknown</t>
  </si>
  <si>
    <t>** Whatcom CC was approved in 2017 (retroactive 2016)</t>
  </si>
  <si>
    <t>***ABA RULE CHANGE</t>
  </si>
  <si>
    <t>*** Effective 2020 ABA paralegal schools are allowed to offer synchronous education</t>
  </si>
  <si>
    <t>Law Clerk examinees/% increase or decrease</t>
  </si>
  <si>
    <t xml:space="preserve"> Practice area students/% increase or decrease </t>
  </si>
  <si>
    <t>Law Clerks (FY)/% increase or decrease</t>
  </si>
  <si>
    <t>Rule 9s (FY)/% increase or decrease</t>
  </si>
  <si>
    <t xml:space="preserve">LPOs (FY)/% increase or decrease </t>
  </si>
  <si>
    <t>Waivers granted/% increase or decrease</t>
  </si>
  <si>
    <t xml:space="preserve">Number of LLLT related articles </t>
  </si>
  <si>
    <t>Number of events (presentations, panels, career fairs, etc.)</t>
  </si>
  <si>
    <t>Reduce direct costs and increase NET Revenue</t>
  </si>
  <si>
    <t>11/29%</t>
  </si>
  <si>
    <t>% of LLLTs serving clients in the 0-200% of FPL</t>
  </si>
  <si>
    <t>% of LLLTs serving clients in the 200-300% of FPL</t>
  </si>
  <si>
    <t>% of LLLTs serving clients in the 300-400% of FPL</t>
  </si>
  <si>
    <t>TOTAL # of clients served (PAID - does not include pro bono)</t>
  </si>
  <si>
    <t>81 / 8%</t>
  </si>
  <si>
    <t>% of ALL WSBA members reporting pro bono hours</t>
  </si>
  <si>
    <t>8**/22%</t>
  </si>
  <si>
    <t>#/%</t>
  </si>
  <si>
    <t>**11 LLLTs reported a total of 582 pro bono hours in 2018; 13 LLLTs reported a total of 929 pro bono hours in 2019</t>
  </si>
  <si>
    <t>*** 8 LLLTs signed before MMP system was updated (and students trained) to refer cases to them.</t>
  </si>
  <si>
    <t xml:space="preserve">****List organizations? </t>
  </si>
  <si>
    <t xml:space="preserve">Increase license fee revenue </t>
  </si>
  <si>
    <t>Total actual WSBA general fund expenses</t>
  </si>
  <si>
    <t>LLLT Cost as percentage of WSBA general fund actual expenses</t>
  </si>
  <si>
    <r>
      <rPr>
        <b/>
        <sz val="12"/>
        <rFont val="Calibri"/>
        <family val="2"/>
        <scheme val="minor"/>
      </rPr>
      <t>Savings to the WSBA:</t>
    </r>
    <r>
      <rPr>
        <b/>
        <sz val="12"/>
        <color rgb="FF00B050"/>
        <rFont val="Calibri"/>
        <family val="2"/>
        <scheme val="minor"/>
      </rPr>
      <t xml:space="preserve"> ($19,182+ $21,478 + $32,156 + $1,912 + $24,121)</t>
    </r>
    <r>
      <rPr>
        <b/>
        <sz val="12"/>
        <rFont val="Calibri"/>
        <family val="2"/>
        <scheme val="minor"/>
      </rPr>
      <t xml:space="preserve"> - </t>
    </r>
    <r>
      <rPr>
        <b/>
        <sz val="12"/>
        <color rgb="FFFF0000"/>
        <rFont val="Calibri"/>
        <family val="2"/>
        <scheme val="minor"/>
      </rPr>
      <t>($24,297 + $7,957)</t>
    </r>
    <r>
      <rPr>
        <b/>
        <sz val="12"/>
        <rFont val="Calibri"/>
        <family val="2"/>
        <scheme val="minor"/>
      </rPr>
      <t xml:space="preserve"> =</t>
    </r>
    <r>
      <rPr>
        <b/>
        <sz val="12"/>
        <color rgb="FF00B050"/>
        <rFont val="Calibri"/>
        <family val="2"/>
        <scheme val="minor"/>
      </rPr>
      <t xml:space="preserve"> $66,595</t>
    </r>
  </si>
  <si>
    <t>FY12</t>
  </si>
  <si>
    <t>Increase support, leadership and advocacy</t>
  </si>
  <si>
    <t>BOG support</t>
  </si>
  <si>
    <t>Resolution in support of LLLTs?</t>
  </si>
  <si>
    <t>LLLT related articles</t>
  </si>
  <si>
    <t xml:space="preserve">Increase public awareness </t>
  </si>
  <si>
    <t>Rack cards</t>
  </si>
  <si>
    <t xml:space="preserve">Legal community </t>
  </si>
  <si>
    <t>Two CLEs</t>
  </si>
  <si>
    <t xml:space="preserve">Increase bench awareness </t>
  </si>
  <si>
    <t>Bench card (draft)</t>
  </si>
  <si>
    <t>Build relationships</t>
  </si>
  <si>
    <t>Advocacy and Outreach</t>
  </si>
  <si>
    <t xml:space="preserve">ATJ, DISCO, ALJs, Legal Pathways, Diversity Committee, Rural Outreach, Supreme Court </t>
  </si>
  <si>
    <t>Active lawyers signed up for MMP / % of active lawyers signed up for MMP</t>
  </si>
  <si>
    <t>Active lawyers in WA</t>
  </si>
  <si>
    <t>514/2%</t>
  </si>
  <si>
    <t>574/2.3%</t>
  </si>
  <si>
    <t>653/2.5%</t>
  </si>
  <si>
    <t>724/2.8%</t>
  </si>
  <si>
    <t>474/1.8%</t>
  </si>
  <si>
    <t>755/2.9%</t>
  </si>
  <si>
    <t>782/3%</t>
  </si>
  <si>
    <t>Count</t>
  </si>
  <si>
    <t>License Fee</t>
  </si>
  <si>
    <t>Late Fee</t>
  </si>
  <si>
    <t>Late Count</t>
  </si>
  <si>
    <t>License Fee Revenue</t>
  </si>
  <si>
    <t>Active LLLT</t>
  </si>
  <si>
    <t>Inactive LLLT</t>
  </si>
  <si>
    <t>Exam Fee</t>
  </si>
  <si>
    <t>Exam Fee Revenue</t>
  </si>
  <si>
    <t>Practice Area &amp; PR Exams</t>
  </si>
  <si>
    <t>Practice Area Exam Only</t>
  </si>
  <si>
    <t>PR Exam Only</t>
  </si>
  <si>
    <t xml:space="preserve">DESIGN AND IMPLEMENTATION </t>
  </si>
  <si>
    <t>REQUIREMENT AND DESIGN</t>
  </si>
  <si>
    <t>MAINTENANCE AND GROWTH</t>
  </si>
  <si>
    <t>Total Revenue</t>
  </si>
  <si>
    <t>18 / -18%</t>
  </si>
  <si>
    <t>Bar examinees/% increase or decrease</t>
  </si>
  <si>
    <t>Emeritus pro bono lawyers</t>
  </si>
  <si>
    <t xml:space="preserve">Number core curriculum schools in WA  </t>
  </si>
  <si>
    <t>5**</t>
  </si>
  <si>
    <t>Practice areas considered</t>
  </si>
  <si>
    <t>Consumer, Money and Debt</t>
  </si>
  <si>
    <t xml:space="preserve">LLLT license fee  </t>
  </si>
  <si>
    <t>% increase</t>
  </si>
  <si>
    <t>Net Revenue (Revenue - direct costs)</t>
  </si>
  <si>
    <t># of LLLTs</t>
  </si>
  <si>
    <t>% change</t>
  </si>
  <si>
    <t xml:space="preserve">LPOs  </t>
  </si>
  <si>
    <t>%change</t>
  </si>
  <si>
    <t>968 / -3%</t>
  </si>
  <si>
    <t>Rula 9s</t>
  </si>
  <si>
    <t>295 / 4%</t>
  </si>
  <si>
    <t xml:space="preserve">Law clerks  </t>
  </si>
  <si>
    <t>75* / 4%</t>
  </si>
  <si>
    <t xml:space="preserve">LLLT examinees </t>
  </si>
  <si>
    <t>Law clerks</t>
  </si>
  <si>
    <t>13 / 63%</t>
  </si>
  <si>
    <t>11 / -15%</t>
  </si>
  <si>
    <t>16 / 7%</t>
  </si>
  <si>
    <t>practice area students</t>
  </si>
  <si>
    <t>20 / 43%</t>
  </si>
  <si>
    <t>17 / 42%</t>
  </si>
  <si>
    <t xml:space="preserve">waivers granted  </t>
  </si>
  <si>
    <t>5 / -67%</t>
  </si>
  <si>
    <t>10 / 150%</t>
  </si>
  <si>
    <t>REVENUE</t>
  </si>
  <si>
    <t>FY 2022</t>
  </si>
  <si>
    <t>FY 2020</t>
  </si>
  <si>
    <t>FY 2021</t>
  </si>
  <si>
    <t>FY 2023</t>
  </si>
  <si>
    <t>FY 2024</t>
  </si>
  <si>
    <t>FY 2025</t>
  </si>
  <si>
    <t>FY 2026</t>
  </si>
  <si>
    <t>FY2027</t>
  </si>
  <si>
    <t>FY 2028</t>
  </si>
  <si>
    <t>FY 2029</t>
  </si>
  <si>
    <t>FY 2030</t>
  </si>
  <si>
    <t>EXPENSES</t>
  </si>
  <si>
    <t>Total expenses</t>
  </si>
  <si>
    <t>Reduce expenses</t>
  </si>
  <si>
    <t>Reduce indirect costs</t>
  </si>
  <si>
    <t>LLLTs</t>
  </si>
  <si>
    <t>2nd Practice area license fee</t>
  </si>
  <si>
    <t>3rd Practice area license fee</t>
  </si>
  <si>
    <t>Active</t>
  </si>
  <si>
    <t xml:space="preserve">Inactive </t>
  </si>
  <si>
    <t>Suspended</t>
  </si>
  <si>
    <t>TOTAL</t>
  </si>
  <si>
    <t>Inactive license fee</t>
  </si>
  <si>
    <t>License Fee (Active)</t>
  </si>
  <si>
    <t>License Fee (Inactive)</t>
  </si>
  <si>
    <t>FY26</t>
  </si>
  <si>
    <t>FY27</t>
  </si>
  <si>
    <t>FY28</t>
  </si>
  <si>
    <t>FY29</t>
  </si>
  <si>
    <t>FY30</t>
  </si>
  <si>
    <t xml:space="preserve">Waiver Application Fee </t>
  </si>
  <si>
    <t>Exam Application Fee</t>
  </si>
  <si>
    <t>TOTAL REVENUE</t>
  </si>
  <si>
    <t>LLLT Board</t>
  </si>
  <si>
    <t xml:space="preserve">LLLT Exam Writing </t>
  </si>
  <si>
    <t xml:space="preserve">LLLT Education </t>
  </si>
  <si>
    <t>DIRECT COSTS</t>
  </si>
  <si>
    <t>TOTAL DIRECT COSTS</t>
  </si>
  <si>
    <t>INDIRECT COSTS</t>
  </si>
  <si>
    <t>TOTAL INDIRECT COSTS</t>
  </si>
  <si>
    <t>-</t>
  </si>
  <si>
    <t>Corhort</t>
  </si>
  <si>
    <t>Examinees</t>
  </si>
  <si>
    <r>
      <rPr>
        <b/>
        <sz val="11"/>
        <color theme="1"/>
        <rFont val="Calibri"/>
        <family val="2"/>
        <scheme val="minor"/>
      </rPr>
      <t>IF</t>
    </r>
    <r>
      <rPr>
        <sz val="11"/>
        <color theme="1"/>
        <rFont val="Calibri"/>
        <family val="2"/>
        <scheme val="minor"/>
      </rPr>
      <t xml:space="preserve"> experience requirement is modified</t>
    </r>
  </si>
  <si>
    <r>
      <rPr>
        <b/>
        <sz val="11"/>
        <rFont val="Calibri"/>
        <family val="2"/>
        <scheme val="minor"/>
      </rPr>
      <t xml:space="preserve">IF </t>
    </r>
    <r>
      <rPr>
        <sz val="11"/>
        <rFont val="Calibri"/>
        <family val="2"/>
        <scheme val="minor"/>
      </rPr>
      <t>waiver requirement is modified</t>
    </r>
  </si>
  <si>
    <t xml:space="preserve">Salary  and benefits </t>
  </si>
  <si>
    <t>Indirect costs (salary and benefits only)</t>
  </si>
  <si>
    <t>% increase dependent on assumptions</t>
  </si>
  <si>
    <t xml:space="preserve">Work and School Law </t>
  </si>
  <si>
    <t xml:space="preserve">ASSUMPTIONS </t>
  </si>
  <si>
    <t>YEAR</t>
  </si>
  <si>
    <t xml:space="preserve">DESCRIPTION </t>
  </si>
  <si>
    <t xml:space="preserve">IMPACT </t>
  </si>
  <si>
    <t>#</t>
  </si>
  <si>
    <t xml:space="preserve">10% of LLLTs are inactive </t>
  </si>
  <si>
    <t xml:space="preserve">License fee revenue </t>
  </si>
  <si>
    <t>2nd practice area is approved</t>
  </si>
  <si>
    <t xml:space="preserve">3rd practice area is approved </t>
  </si>
  <si>
    <t xml:space="preserve">ongoing </t>
  </si>
  <si>
    <t xml:space="preserve">2023 and beyond </t>
  </si>
  <si>
    <t>40% of active LLLTs are licensed in 2 practice areas</t>
  </si>
  <si>
    <t>30% of active LLLTs are licensed in 3 practice areas</t>
  </si>
  <si>
    <t>70% of active LLLTs are licensed in in 2 practice areas</t>
  </si>
  <si>
    <t>50% of active LLLTs are licensed in in 3 practice areas</t>
  </si>
  <si>
    <t xml:space="preserve">License fee revenue and pipeline projections </t>
  </si>
  <si>
    <t>Pipeline projections (as demonstrated in Pipeline tab)</t>
  </si>
  <si>
    <t>Additional practice areas</t>
  </si>
  <si>
    <t>Exam fees</t>
  </si>
  <si>
    <t>Board expenses</t>
  </si>
  <si>
    <t xml:space="preserve">TOTAL Direct costs </t>
  </si>
  <si>
    <t xml:space="preserve">Outreach </t>
  </si>
  <si>
    <t xml:space="preserve">Exam writing </t>
  </si>
  <si>
    <t>LLLT Education Fee (CLEs and practice area)</t>
  </si>
  <si>
    <t>Education approval fee (core education)</t>
  </si>
  <si>
    <t>Licensing Forms</t>
  </si>
  <si>
    <t>Postage</t>
  </si>
  <si>
    <t>Staff Travel/Parking</t>
  </si>
  <si>
    <t>Inactive (A1)</t>
  </si>
  <si>
    <t>A1</t>
  </si>
  <si>
    <t>A2</t>
  </si>
  <si>
    <t>A3</t>
  </si>
  <si>
    <t>A4</t>
  </si>
  <si>
    <t>A5</t>
  </si>
  <si>
    <t>A6</t>
  </si>
  <si>
    <t>A7</t>
  </si>
  <si>
    <t>A8</t>
  </si>
  <si>
    <t>A9</t>
  </si>
  <si>
    <t>A10</t>
  </si>
  <si>
    <t>A11</t>
  </si>
  <si>
    <t>A12</t>
  </si>
  <si>
    <t>A13</t>
  </si>
  <si>
    <t>A14</t>
  </si>
  <si>
    <t>2nd area (A2, A4, A6)</t>
  </si>
  <si>
    <t>3rd area (A3, A5, A7)</t>
  </si>
  <si>
    <t xml:space="preserve">Actual Net </t>
  </si>
  <si>
    <t xml:space="preserve">ALL indirect costs (staff and benefits + other indirect expenses as shown in budget) </t>
  </si>
  <si>
    <r>
      <rPr>
        <b/>
        <sz val="11"/>
        <color theme="1"/>
        <rFont val="Calibri"/>
        <family val="2"/>
        <scheme val="minor"/>
      </rPr>
      <t>IF</t>
    </r>
    <r>
      <rPr>
        <sz val="11"/>
        <color theme="1"/>
        <rFont val="Calibri"/>
        <family val="2"/>
        <scheme val="minor"/>
      </rPr>
      <t xml:space="preserve"> 3rd practice areas (% change)</t>
    </r>
  </si>
  <si>
    <r>
      <rPr>
        <b/>
        <sz val="11"/>
        <color theme="1"/>
        <rFont val="Calibri"/>
        <family val="2"/>
        <scheme val="minor"/>
      </rPr>
      <t>IF</t>
    </r>
    <r>
      <rPr>
        <sz val="11"/>
        <color theme="1"/>
        <rFont val="Calibri"/>
        <family val="2"/>
        <scheme val="minor"/>
      </rPr>
      <t xml:space="preserve"> 2nd practice area (% change)</t>
    </r>
  </si>
  <si>
    <t>Estate &amp; Healthcare Law; Immigration</t>
  </si>
  <si>
    <t>MAX TOTAL PER LLLT</t>
  </si>
  <si>
    <t>PR + 1 PRACTICE AREA</t>
  </si>
  <si>
    <t>PR + 2 PRACTICE AREAS</t>
  </si>
  <si>
    <t>PR + 3 PRACTICE AREAS</t>
  </si>
  <si>
    <t xml:space="preserve">PR ONLY </t>
  </si>
  <si>
    <t>3 PRACTICE AREAS (NO PR)</t>
  </si>
  <si>
    <t>2 PRACTICE AREAS (NO PR)</t>
  </si>
  <si>
    <t>NOTES</t>
  </si>
  <si>
    <t xml:space="preserve">Based on current numbers and comparison. In 2019, 10% of LLLTs were inactive and 12% of lawyers in WA were inactive. </t>
  </si>
  <si>
    <t xml:space="preserve">Approved. Not yet licensed. </t>
  </si>
  <si>
    <t>Dec 2019 survey: 63% of LLLTs are interested in another practice area (12 out of 19 LLLTs are interested in another practice area; 2 maybe and 5 no)</t>
  </si>
  <si>
    <t>Dec 2019 survey: 47% of LLLTs are interested in more than one practice area (9 out of 19 LLLTs named more than one additional practice area)</t>
  </si>
  <si>
    <t>70% is a little higher than the 63% above but it accounts for the "maybe" responses</t>
  </si>
  <si>
    <t>Cosidering the potential return on investment, it is reasonable to anticipate that 50% of active LLLTs will be licensed in 3 practice areas</t>
  </si>
  <si>
    <t>40% of active LLLTs will take 1 practice area exam</t>
  </si>
  <si>
    <t>30% of active LLLTs will take 2 practice area exams</t>
  </si>
  <si>
    <t>2021-2022</t>
  </si>
  <si>
    <t>A15</t>
  </si>
  <si>
    <t>A16</t>
  </si>
  <si>
    <t>A17</t>
  </si>
  <si>
    <t>3,000 experience requirement is reduced</t>
  </si>
  <si>
    <t>A18</t>
  </si>
  <si>
    <t>A19</t>
  </si>
  <si>
    <t>The limited time waiver will be made permanent AND the number of years of experience required will be reduced</t>
  </si>
  <si>
    <t>A20</t>
  </si>
  <si>
    <t>A21</t>
  </si>
  <si>
    <t>A22</t>
  </si>
  <si>
    <t>A23</t>
  </si>
  <si>
    <t xml:space="preserve">Alternative statement of indirect costs (total indirect costs based on % of membership rather than FTE) </t>
  </si>
  <si>
    <t>LLLT education revenue (including CLEs)</t>
  </si>
  <si>
    <t>See pipeline tab</t>
  </si>
  <si>
    <t xml:space="preserve">LICENSE FEE FORECAST </t>
  </si>
  <si>
    <t>EXAM FEE FORECAST</t>
  </si>
  <si>
    <t>30% of examinees will take 2 practice area exams (and PR)</t>
  </si>
  <si>
    <t>15% of examinees will take all practice area exams (and PR)</t>
  </si>
  <si>
    <t>1 area +PR</t>
  </si>
  <si>
    <t>2 areas +PR</t>
  </si>
  <si>
    <t>3 areas +PR</t>
  </si>
  <si>
    <t xml:space="preserve">TOTAL </t>
  </si>
  <si>
    <t>Average pass rate for ALL previous exams (2015-2019) is 47%</t>
  </si>
  <si>
    <t>40% of first time examinees will pass the exam(s)</t>
  </si>
  <si>
    <t>Pass rate</t>
  </si>
  <si>
    <t># of LLLTs based on 40% pass rate</t>
  </si>
  <si>
    <t>ongoing</t>
  </si>
  <si>
    <t>Facility, Parking and Food (LLLT Exam)</t>
  </si>
  <si>
    <t>LLLT Outreach</t>
  </si>
  <si>
    <t xml:space="preserve">COST: Staff Travel/Parking </t>
  </si>
  <si>
    <t xml:space="preserve">COST: Postage </t>
  </si>
  <si>
    <t xml:space="preserve">Postage cost center is longer needed. Last time it was used was FY17 when LLLTs were not members of the bar. No mass mailing projects are sent to WSBA production. </t>
  </si>
  <si>
    <t xml:space="preserve">Licensing cost center is new (FY20).  The amount for FY20 would have been $2.5 but it was absorbed by Licensing which was coordinated when LLLTs became members of the bar. To simplify calculation, use $0.05 x #of LLLTs. </t>
  </si>
  <si>
    <t xml:space="preserve">COST: Licensing Forms </t>
  </si>
  <si>
    <t xml:space="preserve">COST: LLLT Outreach </t>
  </si>
  <si>
    <t>Average for the past 7 years = $4,420.</t>
  </si>
  <si>
    <t>See Financial tab</t>
  </si>
  <si>
    <t>Facility, parking and food (LLLT exam)</t>
  </si>
  <si>
    <t xml:space="preserve">Average for the past 7 years = $264. Budgeted amount = $600. Assume the cost will be no more than $600 per year. As the profession becomes more wellknown, the need for staff travel will reduce. </t>
  </si>
  <si>
    <t xml:space="preserve">COST: Exam Writing </t>
  </si>
  <si>
    <t xml:space="preserve">New practice area may require exam writing. Increase cost to account for hiring SMEs to develop a bank of questions. Having a significant bank of questions would also reduce the number of LLLT Board meetings and consequently the costs associated with it. </t>
  </si>
  <si>
    <t xml:space="preserve">2023-ongoing </t>
  </si>
  <si>
    <t>Resume working with Ergometrics as usual. Estimate 1% increase per year. (Although, we contracted at the same rate for three years)</t>
  </si>
  <si>
    <t>COST: Facility, Parking and Food (LLLT Exam)</t>
  </si>
  <si>
    <t xml:space="preserve">Considering the small number of applicants, we currently do not pay for facility (WSBA already has access to the exam room the Monday prior to the bar exam). The only cost would be staff parking. However, the staff now assigned to oversee the exam will also stay for the lawyer bar exam so no additional costs apply since the staff would need to travel there for the lawyer exam. </t>
  </si>
  <si>
    <t>2020-2021</t>
  </si>
  <si>
    <t xml:space="preserve">2025-ongoing </t>
  </si>
  <si>
    <t>Fewer than 50 examinees = $2,900  [$2,400 for facility (anticipating half the cost of the LPO exam) +$500 for coffee, water for examinees and staff parking and food]</t>
  </si>
  <si>
    <t>50 or over examinees = $5,300 [$4,800 facility (same size room as LPO exam)  +$500 for coffee, water for examinees and staff parking and food]</t>
  </si>
  <si>
    <t xml:space="preserve">Revenue: Core education approval fee  </t>
  </si>
  <si>
    <t xml:space="preserve">Average for the past 3 FYs is $16,000. However, we have noticed an increase in remote participation so travel cost has been reduced. October-January = $2,793.84. November meeting was canceled so that means an average of $931.28. Budgeting more to account for potential additional meetings due to new practice area proposals and because as the travel conditions improve more people are likely to attend in person.  </t>
  </si>
  <si>
    <t>COST: LLLT Board $14,000</t>
  </si>
  <si>
    <t>2023-2024</t>
  </si>
  <si>
    <t>COST: LLLT Board $7,000</t>
  </si>
  <si>
    <t xml:space="preserve">Montly meetings </t>
  </si>
  <si>
    <t xml:space="preserve">In-person meetings limited to every other month </t>
  </si>
  <si>
    <t>In-person meetings limited to one per quarter</t>
  </si>
  <si>
    <t>COST: LLLT Board $4,600</t>
  </si>
  <si>
    <t>COST: LLLT Education</t>
  </si>
  <si>
    <t>Cost for hosting the mandatory in-person education in the summer. $2,500</t>
  </si>
  <si>
    <t xml:space="preserve">2021-ongoing </t>
  </si>
  <si>
    <t>LLLT Board sponsored CLEs $1,500</t>
  </si>
  <si>
    <t xml:space="preserve">Revenue: LLLT Education </t>
  </si>
  <si>
    <t>2021-2024</t>
  </si>
  <si>
    <t>Wenatchee Valley College and Yakima Valley College will seek LLLT Board approval to offer the LLLT core education - $2,500 each</t>
  </si>
  <si>
    <t>Practice area education will not be offered through WSBA (potential $15,000 loss of revenue). Summer mandatory in-person education = $9,196.  6 LLLTs need both in-person and online components. Assuming 3 of them sign up: 3x549 = $1,647. 3 LLLTs need only the in-person education (3x$350=$1,050). One LLLT needs the online only ($199). 5 students from the last cohort need the in-person training. Assuming 3 sign up:  3x$350=$1,050. Assume 15 students sign up: 15x$350=$5,250</t>
  </si>
  <si>
    <t>LLLT Board sponsored CLEs $6,000</t>
  </si>
  <si>
    <t>LLLT Board sponsored CLEs $12,000</t>
  </si>
  <si>
    <t>Waiver fees</t>
  </si>
  <si>
    <t>Increase exam fees</t>
  </si>
  <si>
    <t>10% higher than prior year</t>
  </si>
  <si>
    <t>Eviction and Debt Defense and WA Admin. Law</t>
  </si>
  <si>
    <t>2022-2027</t>
  </si>
  <si>
    <t xml:space="preserve">2028-ongoing </t>
  </si>
  <si>
    <t>1 PRACTICE AREA (NO PR)</t>
  </si>
  <si>
    <t>Active (Full Fee)</t>
  </si>
  <si>
    <t>New Admittee</t>
  </si>
  <si>
    <t>New Admittee (1 area)</t>
  </si>
  <si>
    <t>New Admittee (2 areas)</t>
  </si>
  <si>
    <t>New Admittee (3 areas)</t>
  </si>
  <si>
    <t>New Admittee (2 practice areas)</t>
  </si>
  <si>
    <t>License Fee (2 practice areas)</t>
  </si>
  <si>
    <t>License Fee (3 practice areas)</t>
  </si>
  <si>
    <t>New Admittee (3 practice areas)</t>
  </si>
  <si>
    <t>TOTAL LICENSE FEE REVENUE</t>
  </si>
  <si>
    <t>TOTAL EXAM FEE REVENUE</t>
  </si>
  <si>
    <t>Check w Gus</t>
  </si>
  <si>
    <t xml:space="preserve">Grants </t>
  </si>
  <si>
    <t xml:space="preserve">Other indirects </t>
  </si>
  <si>
    <t>NET DIRECT INCOME/LOSS</t>
  </si>
  <si>
    <t>NET INCOME/LOSS (all revenue and direct and indirect costs as currently calculated)</t>
  </si>
  <si>
    <t>1,527*</t>
  </si>
  <si>
    <t>* incomplete data based on survey sent in December 2019 - 20 LLLTs responded. Includes ALL clients served - not just clients in 2019.</t>
  </si>
  <si>
    <t>Point of reference</t>
  </si>
  <si>
    <t>LLLTs became members of the bar. Designated LPO/LLLT BOG seat added.</t>
  </si>
  <si>
    <t xml:space="preserve">LLLT DRAFT BUSINESS PLAN FOR DISCUSSION ONLY </t>
  </si>
  <si>
    <t xml:space="preserve">COST: Salary and Benefits </t>
  </si>
  <si>
    <t>Less administrative support required</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</si>
  <si>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</si>
  <si>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</si>
  <si>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</si>
  <si>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</si>
  <si>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</si>
  <si>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</si>
  <si>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</si>
  <si>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</si>
  <si>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</si>
  <si>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</si>
  <si>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</si>
  <si>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</si>
  <si>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</si>
  <si>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</si>
  <si>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</si>
  <si>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</si>
  <si>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</si>
  <si>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</si>
  <si>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</si>
  <si>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</si>
  <si>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</si>
  <si>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</si>
  <si>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</si>
  <si>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Less administrative support required due to Assumptions A1, A2, A16, A20, A45 and A46</t>
  </si>
  <si>
    <t>A47</t>
  </si>
  <si>
    <t>Grants</t>
  </si>
  <si>
    <t>Indirect costs (overhead)</t>
  </si>
  <si>
    <t xml:space="preserve">90% of practice area students will take the exam </t>
  </si>
  <si>
    <t>FTE's</t>
  </si>
  <si>
    <t>Inactive Fee</t>
  </si>
  <si>
    <t>REVENUE 1 Area</t>
  </si>
  <si>
    <t>REVENUE 2 Area</t>
  </si>
  <si>
    <t>Revenue 3 Area</t>
  </si>
  <si>
    <t>LLLT</t>
  </si>
  <si>
    <t>WSBA</t>
  </si>
  <si>
    <t xml:space="preserve">Total </t>
  </si>
  <si>
    <t>License fee</t>
  </si>
  <si>
    <t>Base fee (1 practice area)</t>
  </si>
  <si>
    <t>1st additional practice area</t>
  </si>
  <si>
    <t>2nd additional practice area</t>
  </si>
  <si>
    <t>Current LLLTs taking 1 exam</t>
  </si>
  <si>
    <t>Current LLLTs taking 2 exams</t>
  </si>
  <si>
    <t>2nd practice area will lead to a 5%  increase in the number of LLLT students</t>
  </si>
  <si>
    <t xml:space="preserve">2021 and beyond </t>
  </si>
  <si>
    <t>3rd  practice area will lead to a 5%  increase in the number of LLLT students</t>
  </si>
  <si>
    <t>reduced experience requirement will lead to a 5% increase in the number of LLLT students</t>
  </si>
  <si>
    <t>reduced experience requirement for the waiver will lead to a 5% increase in the number of LLLT students</t>
  </si>
  <si>
    <t>Examinees = 90% of practice area students +50% of previous examinees (60% fail)</t>
  </si>
  <si>
    <t>40% active LLLTs will take 1 practice area exam</t>
  </si>
  <si>
    <t>30% active LLLTs will take 2 practice area exams</t>
  </si>
  <si>
    <t>40% of active LLLTs (2021 data) will take at least 1 practice area exam in 2022</t>
  </si>
  <si>
    <t>30% of active LLLTs (2021 data) will take 2 practice area exams in 2022</t>
  </si>
  <si>
    <t>40% of active LLLTs (2022 data) will take at least 1 practice area exam in 2023</t>
  </si>
  <si>
    <t>30% of active LLLTs (2022 data) will take 2 practice area exams in 2023</t>
  </si>
  <si>
    <t xml:space="preserve">Late License Fee </t>
  </si>
  <si>
    <t>Late Exam Fee</t>
  </si>
  <si>
    <t>Also just heard from SPSCC</t>
  </si>
  <si>
    <t xml:space="preserve">Fundraising and grants </t>
  </si>
  <si>
    <t>10% of LLLTs will renew license after the deadlie and pay a late license fee</t>
  </si>
  <si>
    <t>Late application fee</t>
  </si>
  <si>
    <t>10% of examiees will apply after the deadline and pay the late application fee ($150)</t>
  </si>
  <si>
    <t xml:space="preserve">late fee = 30% of the license fee </t>
  </si>
  <si>
    <t>FY 2027</t>
  </si>
  <si>
    <t>NET DIRECT</t>
  </si>
  <si>
    <t xml:space="preserve">INDIRECT COSTS </t>
  </si>
  <si>
    <t>NET INCOME/LOSS</t>
  </si>
  <si>
    <t>Active (Full Fee - 1 area)</t>
  </si>
  <si>
    <t>Late fee *</t>
  </si>
  <si>
    <t xml:space="preserve">* 2022-2030 calculation limited to base license fee (full price and new admittee); does not include NPA </t>
  </si>
  <si>
    <t>2020 NPA classes delay</t>
  </si>
  <si>
    <t xml:space="preserve">Number of LLLTs = 95% of  those who pass the exam will become licensed </t>
  </si>
  <si>
    <t>according to admissions 15% of applicants apply after the first deadline</t>
  </si>
  <si>
    <t>Overhead Base</t>
  </si>
  <si>
    <t>Salaries and Benefits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</si>
</sst>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0.0000%"/>
    <numFmt numFmtId="168" formatCode="_(&quot;$&quot;* #,##0_);_(&quot;$&quot;* \(#,##0\);_(&quot;$&quot;* &quot;-&quot;??_);_(@_)"/>
    <numFmt numFmtId="169" formatCode="&quot;$&quot;#,##0"/>
  </numFmts>
  <fonts count="26" x14ac:knownFonts="1">
    <font>
      <sz val="11"/>
      <color theme="1"/>
      <name val="Calibri"/>
      <family val="2"/>
      <scheme val="minor"/>
    </font>
    <font>
      <sz val="11"/>
      <color theme="1"/>
      <name val="Calibri"/>
      <family val="2"/>
      <scheme val="minor"/>
    </font>
    <font>
      <sz val="24"/>
      <color theme="0"/>
      <name val="Century Gothic"/>
      <family val="2"/>
    </font>
    <font>
      <b/>
      <sz val="14"/>
      <color theme="1"/>
      <name val="Century Gothic"/>
      <family val="2"/>
    </font>
    <font>
      <b/>
      <sz val="14"/>
      <color theme="2"/>
      <name val="Century Gothic"/>
      <family val="2"/>
    </font>
    <font>
      <b/>
      <sz val="11"/>
      <color theme="2"/>
      <name val="Century Gothic"/>
      <family val="2"/>
    </font>
    <font>
      <b/>
      <sz val="11"/>
      <color theme="1"/>
      <name val="Calibri"/>
      <family val="2"/>
      <scheme val="minor"/>
    </font>
    <font>
      <sz val="11"/>
      <color theme="1"/>
      <name val="Calibri"/>
      <family val="2"/>
    </font>
    <font>
      <b/>
      <sz val="11"/>
      <color rgb="FFFF0000"/>
      <name val="Calibri"/>
      <family val="2"/>
      <scheme val="minor"/>
    </font>
    <font>
      <sz val="11"/>
      <name val="Calibri"/>
      <family val="2"/>
      <scheme val="minor"/>
    </font>
    <font>
      <sz val="11"/>
      <color rgb="FFFF0000"/>
      <name val="Calibri"/>
      <family val="2"/>
      <scheme val="minor"/>
    </font>
    <font>
      <b/>
      <sz val="12"/>
      <color rgb="FFFF0000"/>
      <name val="Calibri"/>
      <family val="2"/>
      <scheme val="minor"/>
    </font>
    <font>
      <b/>
      <sz val="12"/>
      <name val="Calibri"/>
      <family val="2"/>
      <scheme val="minor"/>
    </font>
    <font>
      <b/>
      <sz val="12"/>
      <color rgb="FF00B050"/>
      <name val="Calibri"/>
      <family val="2"/>
      <scheme val="minor"/>
    </font>
    <font>
      <b/>
      <sz val="11"/>
      <color theme="0"/>
      <name val="Century Gothic"/>
      <family val="2"/>
    </font>
    <font>
      <sz val="8"/>
      <color theme="1"/>
      <name val="Calibri"/>
      <family val="2"/>
      <scheme val="minor"/>
    </font>
    <font>
      <sz val="11"/>
      <color theme="0"/>
      <name val="Calibri"/>
      <family val="2"/>
      <scheme val="minor"/>
    </font>
    <font>
      <b/>
      <sz val="12"/>
      <color theme="0"/>
      <name val="Calibri"/>
      <family val="2"/>
      <scheme val="minor"/>
    </font>
    <font>
      <b/>
      <sz val="11"/>
      <name val="Calibri"/>
      <family val="2"/>
      <scheme val="minor"/>
    </font>
    <font>
      <b/>
      <sz val="11"/>
      <color theme="0"/>
      <name val="Calibri"/>
      <family val="2"/>
      <scheme val="minor"/>
    </font>
    <font>
      <b/>
      <sz val="16"/>
      <color theme="0"/>
      <name val="Calibri"/>
      <family val="2"/>
      <scheme val="minor"/>
    </font>
    <font>
      <sz val="10"/>
      <name val="Arial"/>
      <family val="2"/>
    </font>
    <font>
      <sz val="11"/>
      <color rgb="FF363636"/>
      <name val="Calibri"/>
      <family val="2"/>
      <scheme val="minor"/>
    </font>
    <font>
      <b/>
      <sz val="22"/>
      <color theme="1"/>
      <name val="Calibri"/>
      <family val="2"/>
      <scheme val="minor"/>
    </font>
    <font>
      <sz val="9"/>
      <color indexed="81"/>
      <name val="Tahoma"/>
      <family val="2"/>
    </font>
    <font>
      <b/>
      <sz val="9"/>
      <color indexed="81"/>
      <name val="Tahoma"/>
      <family val="2"/>
    </font>
  </fonts>
  <fills count="3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1" tint="0.14999847407452621"/>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5" tint="-0.49998474074526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249977111117893"/>
        <bgColor theme="0"/>
      </patternFill>
    </fill>
    <fill>
      <patternFill patternType="solid">
        <fgColor theme="2"/>
        <bgColor theme="0"/>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79998168889431442"/>
        <bgColor theme="0"/>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0.89999084444715716"/>
        <bgColor indexed="64"/>
      </patternFill>
    </fill>
    <fill>
      <patternFill patternType="solid">
        <fgColor theme="0" tint="-0.499984740745262"/>
        <bgColor indexed="64"/>
      </patternFill>
    </fill>
    <fill>
      <patternFill patternType="solid">
        <fgColor rgb="FF0070C0"/>
        <bgColor indexed="64"/>
      </patternFill>
    </fill>
    <fill>
      <patternFill patternType="solid">
        <fgColor rgb="FFFFFF00"/>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39997558519241921"/>
        <bgColor indexed="64"/>
      </patternFill>
    </fill>
  </fills>
  <borders count="19">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thin">
        <color theme="2" tint="-9.9978637043366805E-2"/>
      </left>
      <right/>
      <top/>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cellStyleXfs>
  <cellXfs count="364">
    <xf numFmtId="0" fontId="0" fillId="0" borderId="0" xfId="0"/>
    <xf numFmtId="0" fontId="0" fillId="4" borderId="0" xfId="0" applyFill="1"/>
    <xf numFmtId="0" fontId="0" fillId="0" borderId="0" xfId="0" applyFill="1"/>
    <xf numFmtId="0" fontId="0" fillId="0" borderId="0" xfId="0" applyFill="1" applyBorder="1"/>
    <xf numFmtId="0" fontId="0" fillId="3" borderId="1" xfId="0" applyFill="1" applyBorder="1"/>
    <xf numFmtId="0" fontId="0" fillId="3" borderId="1" xfId="0" applyFill="1" applyBorder="1" applyAlignment="1">
      <alignment horizontal="right" wrapText="1"/>
    </xf>
    <xf numFmtId="0" fontId="0" fillId="3" borderId="1" xfId="0" applyFill="1" applyBorder="1" applyAlignment="1">
      <alignment horizontal="center"/>
    </xf>
    <xf numFmtId="0" fontId="5" fillId="6" borderId="1" xfId="0" applyFont="1" applyFill="1" applyBorder="1" applyAlignment="1">
      <alignment horizontal="center" vertical="center"/>
    </xf>
    <xf numFmtId="0" fontId="0" fillId="3" borderId="1" xfId="0" applyFill="1" applyBorder="1" applyAlignment="1">
      <alignment horizontal="right"/>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11" borderId="1" xfId="0" applyFill="1" applyBorder="1" applyAlignment="1">
      <alignment horizontal="right" wrapText="1"/>
    </xf>
    <xf numFmtId="44" fontId="0" fillId="11" borderId="1" xfId="1" applyFont="1" applyFill="1" applyBorder="1" applyAlignment="1">
      <alignment horizontal="center"/>
    </xf>
    <xf numFmtId="0" fontId="0" fillId="3" borderId="1" xfId="0" applyFill="1" applyBorder="1" applyAlignment="1">
      <alignment vertical="center" wrapText="1"/>
    </xf>
    <xf numFmtId="0" fontId="0" fillId="13" borderId="1" xfId="0" applyFill="1" applyBorder="1" applyAlignment="1">
      <alignment horizontal="right" wrapText="1"/>
    </xf>
    <xf numFmtId="44" fontId="0" fillId="13" borderId="1" xfId="0" applyNumberFormat="1" applyFill="1" applyBorder="1"/>
    <xf numFmtId="44" fontId="0" fillId="12" borderId="1" xfId="1" applyFont="1" applyFill="1" applyBorder="1" applyAlignment="1">
      <alignment horizontal="center"/>
    </xf>
    <xf numFmtId="0" fontId="0" fillId="13" borderId="1" xfId="0" applyFill="1" applyBorder="1"/>
    <xf numFmtId="0" fontId="0" fillId="13" borderId="2" xfId="0" applyFill="1" applyBorder="1" applyAlignment="1">
      <alignment horizontal="right" wrapText="1"/>
    </xf>
    <xf numFmtId="0" fontId="0" fillId="13" borderId="2" xfId="0" applyFill="1" applyBorder="1"/>
    <xf numFmtId="0" fontId="0" fillId="12" borderId="1" xfId="0" applyFill="1" applyBorder="1" applyAlignment="1">
      <alignment horizontal="right" wrapText="1"/>
    </xf>
    <xf numFmtId="0" fontId="0" fillId="12" borderId="1" xfId="0" applyFill="1" applyBorder="1" applyAlignment="1">
      <alignment horizontal="center"/>
    </xf>
    <xf numFmtId="0" fontId="0" fillId="12" borderId="6" xfId="0" applyFill="1" applyBorder="1" applyAlignment="1">
      <alignment horizontal="right"/>
    </xf>
    <xf numFmtId="0" fontId="0" fillId="12" borderId="1" xfId="2" applyNumberFormat="1" applyFont="1" applyFill="1" applyBorder="1" applyAlignment="1">
      <alignment horizontal="center"/>
    </xf>
    <xf numFmtId="3" fontId="0" fillId="13" borderId="1" xfId="0" applyNumberFormat="1" applyFill="1" applyBorder="1" applyAlignment="1">
      <alignment horizontal="center"/>
    </xf>
    <xf numFmtId="0" fontId="0" fillId="13" borderId="1" xfId="0" applyFill="1" applyBorder="1" applyAlignment="1">
      <alignment horizontal="center"/>
    </xf>
    <xf numFmtId="44" fontId="0" fillId="13" borderId="1" xfId="1" applyFont="1" applyFill="1" applyBorder="1" applyAlignment="1">
      <alignment horizontal="center"/>
    </xf>
    <xf numFmtId="44" fontId="0" fillId="13" borderId="1" xfId="0" applyNumberFormat="1" applyFill="1" applyBorder="1" applyAlignment="1">
      <alignment horizontal="center"/>
    </xf>
    <xf numFmtId="44" fontId="0" fillId="12" borderId="1" xfId="2" applyNumberFormat="1" applyFont="1" applyFill="1" applyBorder="1" applyAlignment="1">
      <alignment horizontal="center"/>
    </xf>
    <xf numFmtId="9" fontId="0" fillId="12" borderId="2" xfId="2" applyNumberFormat="1" applyFont="1" applyFill="1" applyBorder="1" applyAlignment="1">
      <alignment horizontal="center"/>
    </xf>
    <xf numFmtId="0" fontId="0" fillId="13" borderId="2" xfId="0" applyFill="1" applyBorder="1" applyAlignment="1">
      <alignment horizontal="center"/>
    </xf>
    <xf numFmtId="0" fontId="0" fillId="12" borderId="1" xfId="0" applyFill="1" applyBorder="1" applyAlignment="1">
      <alignment horizontal="left"/>
    </xf>
    <xf numFmtId="0" fontId="0" fillId="14" borderId="1" xfId="0" applyFill="1" applyBorder="1" applyAlignment="1">
      <alignment horizontal="right" wrapText="1"/>
    </xf>
    <xf numFmtId="9" fontId="0" fillId="3" borderId="1" xfId="2" applyFont="1" applyFill="1" applyBorder="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xf>
    <xf numFmtId="0" fontId="0" fillId="11" borderId="1" xfId="0" applyFill="1" applyBorder="1" applyAlignment="1">
      <alignment vertical="center" wrapText="1"/>
    </xf>
    <xf numFmtId="0" fontId="6" fillId="3"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11" borderId="1" xfId="0" applyFont="1" applyFill="1" applyBorder="1" applyAlignment="1">
      <alignment horizontal="center" vertical="center"/>
    </xf>
    <xf numFmtId="9" fontId="0" fillId="11" borderId="1" xfId="2" applyFont="1" applyFill="1" applyBorder="1" applyAlignment="1">
      <alignment horizontal="center"/>
    </xf>
    <xf numFmtId="0" fontId="0" fillId="3" borderId="2" xfId="0" applyFill="1" applyBorder="1" applyAlignment="1">
      <alignment horizontal="center"/>
    </xf>
    <xf numFmtId="0" fontId="0" fillId="0" borderId="0" xfId="0" applyBorder="1"/>
    <xf numFmtId="0" fontId="0" fillId="11" borderId="3" xfId="0" applyFill="1" applyBorder="1" applyAlignment="1">
      <alignment vertical="center" wrapText="1"/>
    </xf>
    <xf numFmtId="0" fontId="0" fillId="3" borderId="1" xfId="0" applyFill="1" applyBorder="1" applyAlignment="1">
      <alignment horizontal="left"/>
    </xf>
    <xf numFmtId="164" fontId="0" fillId="11" borderId="1" xfId="3" applyNumberFormat="1" applyFont="1" applyFill="1" applyBorder="1" applyAlignment="1">
      <alignment horizontal="left"/>
    </xf>
    <xf numFmtId="0" fontId="0" fillId="11" borderId="1" xfId="0" applyFill="1" applyBorder="1" applyAlignment="1">
      <alignment horizontal="left"/>
    </xf>
    <xf numFmtId="165" fontId="0" fillId="11" borderId="1" xfId="3" applyNumberFormat="1" applyFont="1" applyFill="1" applyBorder="1" applyAlignment="1">
      <alignment horizontal="center"/>
    </xf>
    <xf numFmtId="0" fontId="0" fillId="11" borderId="4" xfId="0" applyFill="1" applyBorder="1" applyAlignment="1">
      <alignment horizontal="center" vertical="center" wrapText="1"/>
    </xf>
    <xf numFmtId="0" fontId="0" fillId="16" borderId="1" xfId="0" applyFill="1" applyBorder="1" applyAlignment="1">
      <alignment horizontal="center"/>
    </xf>
    <xf numFmtId="0" fontId="0" fillId="16" borderId="1" xfId="0" applyFill="1" applyBorder="1"/>
    <xf numFmtId="0" fontId="0" fillId="13" borderId="15" xfId="0" applyFill="1" applyBorder="1" applyAlignment="1">
      <alignment horizontal="center" wrapText="1"/>
    </xf>
    <xf numFmtId="0" fontId="0" fillId="13" borderId="12" xfId="0" applyFill="1" applyBorder="1" applyAlignment="1">
      <alignment horizontal="center" wrapText="1"/>
    </xf>
    <xf numFmtId="9" fontId="0" fillId="3" borderId="1" xfId="0" applyNumberFormat="1" applyFill="1" applyBorder="1" applyAlignment="1">
      <alignment horizontal="center"/>
    </xf>
    <xf numFmtId="9" fontId="0" fillId="12" borderId="1" xfId="0" applyNumberFormat="1" applyFill="1" applyBorder="1" applyAlignment="1">
      <alignment horizontal="center"/>
    </xf>
    <xf numFmtId="44" fontId="0" fillId="16" borderId="1" xfId="1" applyFont="1" applyFill="1" applyBorder="1" applyAlignment="1">
      <alignment horizontal="center"/>
    </xf>
    <xf numFmtId="44" fontId="0" fillId="16" borderId="1" xfId="1" applyFont="1" applyFill="1" applyBorder="1"/>
    <xf numFmtId="0" fontId="8" fillId="11" borderId="1" xfId="0" applyFont="1" applyFill="1" applyBorder="1" applyAlignment="1">
      <alignment horizontal="right" wrapText="1"/>
    </xf>
    <xf numFmtId="0" fontId="8" fillId="3" borderId="1" xfId="0" applyFont="1" applyFill="1" applyBorder="1" applyAlignment="1">
      <alignment horizontal="right" wrapText="1"/>
    </xf>
    <xf numFmtId="0" fontId="0" fillId="3" borderId="0" xfId="0" applyFont="1" applyFill="1" applyBorder="1" applyAlignment="1">
      <alignment horizontal="center" vertical="center" wrapText="1"/>
    </xf>
    <xf numFmtId="0" fontId="0" fillId="3" borderId="5" xfId="0" applyFont="1" applyFill="1" applyBorder="1" applyAlignment="1">
      <alignment horizontal="center" vertical="center" wrapText="1"/>
    </xf>
    <xf numFmtId="9" fontId="0" fillId="16" borderId="2" xfId="2" applyNumberFormat="1" applyFont="1" applyFill="1" applyBorder="1" applyAlignment="1">
      <alignment horizontal="center"/>
    </xf>
    <xf numFmtId="0" fontId="0" fillId="17" borderId="2" xfId="0" applyFill="1" applyBorder="1" applyAlignment="1">
      <alignment horizontal="center"/>
    </xf>
    <xf numFmtId="0" fontId="0" fillId="16" borderId="1" xfId="0" applyFill="1" applyBorder="1" applyAlignment="1">
      <alignment horizontal="center" wrapText="1"/>
    </xf>
    <xf numFmtId="0" fontId="0" fillId="13" borderId="3" xfId="0" applyFill="1" applyBorder="1" applyAlignment="1">
      <alignment horizontal="center"/>
    </xf>
    <xf numFmtId="0" fontId="0" fillId="3" borderId="3" xfId="0" applyFill="1" applyBorder="1" applyAlignment="1">
      <alignment horizontal="center"/>
    </xf>
    <xf numFmtId="44" fontId="9" fillId="3" borderId="1" xfId="0" applyNumberFormat="1" applyFont="1" applyFill="1" applyBorder="1" applyAlignment="1">
      <alignment horizontal="center"/>
    </xf>
    <xf numFmtId="9" fontId="9" fillId="9" borderId="1" xfId="2" applyFont="1" applyFill="1" applyBorder="1" applyAlignment="1">
      <alignment horizontal="center"/>
    </xf>
    <xf numFmtId="6" fontId="8" fillId="0" borderId="0" xfId="0" applyNumberFormat="1" applyFont="1"/>
    <xf numFmtId="164" fontId="0" fillId="12" borderId="1" xfId="3" applyNumberFormat="1" applyFont="1" applyFill="1" applyBorder="1" applyAlignment="1"/>
    <xf numFmtId="0" fontId="9" fillId="11" borderId="1" xfId="0" applyFont="1" applyFill="1" applyBorder="1" applyAlignment="1">
      <alignment horizontal="right" wrapText="1"/>
    </xf>
    <xf numFmtId="0" fontId="9" fillId="11" borderId="1" xfId="0" applyFont="1" applyFill="1" applyBorder="1" applyAlignment="1">
      <alignment horizontal="right"/>
    </xf>
    <xf numFmtId="0" fontId="9" fillId="3" borderId="1" xfId="0" applyFont="1" applyFill="1" applyBorder="1" applyAlignment="1">
      <alignment horizontal="right" wrapText="1"/>
    </xf>
    <xf numFmtId="0" fontId="0" fillId="11" borderId="1" xfId="0" applyNumberFormat="1" applyFill="1" applyBorder="1" applyAlignment="1">
      <alignment horizontal="center"/>
    </xf>
    <xf numFmtId="167" fontId="0" fillId="12" borderId="1" xfId="2" applyNumberFormat="1" applyFont="1" applyFill="1" applyBorder="1" applyAlignment="1">
      <alignment horizontal="center"/>
    </xf>
    <xf numFmtId="166" fontId="0" fillId="11" borderId="1" xfId="2" applyNumberFormat="1" applyFont="1" applyFill="1" applyBorder="1" applyAlignment="1">
      <alignment horizontal="left"/>
    </xf>
    <xf numFmtId="10" fontId="0" fillId="11" borderId="1" xfId="2" applyNumberFormat="1" applyFont="1" applyFill="1" applyBorder="1" applyAlignment="1">
      <alignment horizontal="left"/>
    </xf>
    <xf numFmtId="165" fontId="0" fillId="3" borderId="1" xfId="1" applyNumberFormat="1" applyFont="1" applyFill="1" applyBorder="1" applyAlignment="1">
      <alignment horizontal="center"/>
    </xf>
    <xf numFmtId="165" fontId="0" fillId="3" borderId="1" xfId="0" applyNumberFormat="1" applyFill="1" applyBorder="1" applyAlignment="1">
      <alignment horizontal="center"/>
    </xf>
    <xf numFmtId="165" fontId="9" fillId="3" borderId="1" xfId="1" applyNumberFormat="1" applyFont="1" applyFill="1" applyBorder="1" applyAlignment="1">
      <alignment horizontal="center"/>
    </xf>
    <xf numFmtId="165" fontId="0" fillId="16" borderId="1" xfId="1" applyNumberFormat="1" applyFont="1" applyFill="1" applyBorder="1" applyAlignment="1">
      <alignment horizontal="center"/>
    </xf>
    <xf numFmtId="165" fontId="0" fillId="16" borderId="1" xfId="0" applyNumberFormat="1" applyFill="1" applyBorder="1" applyAlignment="1">
      <alignment horizontal="center"/>
    </xf>
    <xf numFmtId="165" fontId="8" fillId="3" borderId="1" xfId="1" applyNumberFormat="1" applyFont="1" applyFill="1" applyBorder="1" applyAlignment="1">
      <alignment horizontal="center"/>
    </xf>
    <xf numFmtId="165" fontId="8" fillId="3" borderId="1" xfId="0" applyNumberFormat="1" applyFont="1" applyFill="1" applyBorder="1" applyAlignment="1">
      <alignment horizontal="center"/>
    </xf>
    <xf numFmtId="0" fontId="11" fillId="0" borderId="0" xfId="0" applyFont="1"/>
    <xf numFmtId="0" fontId="0" fillId="3" borderId="1" xfId="0" applyFill="1" applyBorder="1" applyAlignment="1">
      <alignment wrapText="1"/>
    </xf>
    <xf numFmtId="0" fontId="0" fillId="3" borderId="1" xfId="0" applyFill="1" applyBorder="1" applyAlignment="1">
      <alignment vertical="center"/>
    </xf>
    <xf numFmtId="0" fontId="9" fillId="12" borderId="1" xfId="0" applyFont="1" applyFill="1" applyBorder="1" applyAlignment="1">
      <alignment horizontal="center"/>
    </xf>
    <xf numFmtId="166" fontId="0" fillId="12" borderId="1" xfId="2" applyNumberFormat="1" applyFont="1" applyFill="1" applyBorder="1" applyAlignment="1">
      <alignment horizontal="left"/>
    </xf>
    <xf numFmtId="0" fontId="0" fillId="12" borderId="1" xfId="1" applyNumberFormat="1" applyFont="1" applyFill="1" applyBorder="1" applyAlignment="1">
      <alignment horizontal="center"/>
    </xf>
    <xf numFmtId="0" fontId="0" fillId="0" borderId="16" xfId="0" applyBorder="1"/>
    <xf numFmtId="0" fontId="6" fillId="0" borderId="16" xfId="0" applyFont="1" applyBorder="1"/>
    <xf numFmtId="0" fontId="6" fillId="19" borderId="16" xfId="0" applyFont="1" applyFill="1" applyBorder="1"/>
    <xf numFmtId="44" fontId="0" fillId="0" borderId="16" xfId="1" applyFont="1" applyBorder="1"/>
    <xf numFmtId="9" fontId="0" fillId="0" borderId="16" xfId="2" applyFont="1" applyBorder="1"/>
    <xf numFmtId="44" fontId="0" fillId="19" borderId="16" xfId="0" applyNumberFormat="1" applyFill="1" applyBorder="1"/>
    <xf numFmtId="44" fontId="0" fillId="19" borderId="17" xfId="0" applyNumberFormat="1" applyFill="1" applyBorder="1"/>
    <xf numFmtId="44" fontId="6" fillId="19" borderId="18" xfId="0" applyNumberFormat="1" applyFont="1" applyFill="1" applyBorder="1"/>
    <xf numFmtId="0" fontId="6" fillId="20" borderId="16" xfId="0" applyFont="1" applyFill="1" applyBorder="1"/>
    <xf numFmtId="44" fontId="0" fillId="20" borderId="16" xfId="0" applyNumberFormat="1" applyFill="1" applyBorder="1"/>
    <xf numFmtId="44" fontId="0" fillId="20" borderId="17" xfId="0" applyNumberFormat="1" applyFill="1" applyBorder="1"/>
    <xf numFmtId="44" fontId="0" fillId="20" borderId="18" xfId="0" applyNumberFormat="1" applyFill="1" applyBorder="1"/>
    <xf numFmtId="0" fontId="2" fillId="7" borderId="14" xfId="0" applyFont="1" applyFill="1" applyBorder="1" applyAlignment="1">
      <alignment vertical="center"/>
    </xf>
    <xf numFmtId="0" fontId="2" fillId="7" borderId="6" xfId="0" applyFont="1" applyFill="1" applyBorder="1" applyAlignment="1">
      <alignment vertical="center"/>
    </xf>
    <xf numFmtId="0" fontId="6" fillId="3" borderId="1" xfId="0" applyFont="1" applyFill="1" applyBorder="1" applyAlignment="1">
      <alignment horizontal="center" vertical="center" wrapText="1"/>
    </xf>
    <xf numFmtId="0" fontId="15" fillId="16" borderId="1" xfId="0" applyFont="1" applyFill="1" applyBorder="1" applyAlignment="1">
      <alignment horizontal="center" wrapText="1"/>
    </xf>
    <xf numFmtId="0" fontId="15" fillId="3" borderId="1" xfId="0" applyFont="1" applyFill="1" applyBorder="1" applyAlignment="1">
      <alignment horizontal="center" wrapText="1"/>
    </xf>
    <xf numFmtId="1" fontId="0" fillId="16" borderId="1" xfId="0" applyNumberFormat="1" applyFill="1" applyBorder="1" applyAlignment="1">
      <alignment horizontal="center"/>
    </xf>
    <xf numFmtId="9" fontId="0" fillId="16" borderId="1" xfId="0" applyNumberFormat="1" applyFill="1" applyBorder="1" applyAlignment="1">
      <alignment horizontal="center"/>
    </xf>
    <xf numFmtId="9" fontId="0" fillId="13" borderId="1" xfId="2" applyFont="1" applyFill="1" applyBorder="1" applyAlignment="1">
      <alignment horizontal="center"/>
    </xf>
    <xf numFmtId="9" fontId="0" fillId="16" borderId="1" xfId="1" applyNumberFormat="1" applyFont="1" applyFill="1" applyBorder="1" applyAlignment="1">
      <alignment horizontal="center"/>
    </xf>
    <xf numFmtId="44" fontId="0" fillId="16" borderId="1" xfId="1" applyNumberFormat="1" applyFont="1" applyFill="1" applyBorder="1" applyAlignment="1">
      <alignment horizontal="center"/>
    </xf>
    <xf numFmtId="0" fontId="17" fillId="25" borderId="0" xfId="0" applyFont="1" applyFill="1" applyAlignment="1">
      <alignment horizontal="center" vertical="center"/>
    </xf>
    <xf numFmtId="165" fontId="0" fillId="0" borderId="0" xfId="0" applyNumberFormat="1"/>
    <xf numFmtId="0" fontId="0" fillId="0" borderId="0" xfId="0" applyAlignment="1">
      <alignment horizontal="center"/>
    </xf>
    <xf numFmtId="0" fontId="0" fillId="26" borderId="1" xfId="0" applyFill="1" applyBorder="1" applyAlignment="1">
      <alignment horizontal="right" wrapText="1"/>
    </xf>
    <xf numFmtId="2" fontId="0" fillId="0" borderId="0" xfId="0" applyNumberFormat="1"/>
    <xf numFmtId="44" fontId="0" fillId="0" borderId="0" xfId="0" applyNumberFormat="1"/>
    <xf numFmtId="1" fontId="0" fillId="0" borderId="0" xfId="0" applyNumberFormat="1"/>
    <xf numFmtId="0" fontId="0" fillId="0" borderId="0" xfId="0" applyAlignment="1">
      <alignment horizontal="right"/>
    </xf>
    <xf numFmtId="1" fontId="0" fillId="0" borderId="0" xfId="0" applyNumberFormat="1" applyAlignment="1">
      <alignment horizontal="center"/>
    </xf>
    <xf numFmtId="44" fontId="0" fillId="11" borderId="1" xfId="2" applyNumberFormat="1" applyFont="1" applyFill="1" applyBorder="1" applyAlignment="1">
      <alignment horizontal="center"/>
    </xf>
    <xf numFmtId="0" fontId="0" fillId="27" borderId="0" xfId="0" applyFill="1"/>
    <xf numFmtId="44" fontId="0" fillId="27" borderId="0" xfId="0" applyNumberFormat="1" applyFill="1"/>
    <xf numFmtId="0" fontId="0" fillId="11" borderId="0" xfId="0" applyFill="1"/>
    <xf numFmtId="44" fontId="0" fillId="11" borderId="0" xfId="0" applyNumberFormat="1" applyFill="1"/>
    <xf numFmtId="0" fontId="12" fillId="4" borderId="0" xfId="0" applyFont="1" applyFill="1" applyAlignment="1">
      <alignment horizontal="center" vertical="center"/>
    </xf>
    <xf numFmtId="0" fontId="17" fillId="8" borderId="0" xfId="0" applyFont="1" applyFill="1" applyAlignment="1">
      <alignment horizontal="center" vertical="center"/>
    </xf>
    <xf numFmtId="0" fontId="17" fillId="4" borderId="0" xfId="0" applyFont="1" applyFill="1" applyAlignment="1">
      <alignment horizontal="center" vertical="center"/>
    </xf>
    <xf numFmtId="0" fontId="17" fillId="28" borderId="0" xfId="0" applyFont="1" applyFill="1" applyAlignment="1">
      <alignment horizontal="center" vertical="center"/>
    </xf>
    <xf numFmtId="9" fontId="0" fillId="11" borderId="1" xfId="0" applyNumberFormat="1" applyFill="1" applyBorder="1" applyAlignment="1">
      <alignment horizontal="center"/>
    </xf>
    <xf numFmtId="0" fontId="18" fillId="11" borderId="1" xfId="0" applyFont="1" applyFill="1" applyBorder="1" applyAlignment="1">
      <alignment horizontal="right" wrapText="1"/>
    </xf>
    <xf numFmtId="0" fontId="15" fillId="3" borderId="1" xfId="0" applyFont="1" applyFill="1" applyBorder="1" applyAlignment="1">
      <alignment horizontal="center"/>
    </xf>
    <xf numFmtId="0" fontId="0" fillId="3" borderId="1" xfId="0" applyNumberFormat="1" applyFill="1" applyBorder="1" applyAlignment="1">
      <alignment horizontal="center"/>
    </xf>
    <xf numFmtId="0" fontId="19" fillId="0" borderId="0" xfId="0" applyFont="1" applyFill="1" applyAlignment="1">
      <alignment vertical="center"/>
    </xf>
    <xf numFmtId="0" fontId="0" fillId="29" borderId="0" xfId="0" applyNumberFormat="1" applyFill="1" applyAlignment="1">
      <alignment horizontal="center" vertical="center"/>
    </xf>
    <xf numFmtId="0" fontId="0" fillId="29" borderId="0" xfId="0" applyFill="1" applyAlignment="1">
      <alignment horizontal="center" vertical="center"/>
    </xf>
    <xf numFmtId="0" fontId="0" fillId="0" borderId="0" xfId="0" applyNumberFormat="1" applyAlignment="1">
      <alignment horizontal="center"/>
    </xf>
    <xf numFmtId="0" fontId="9" fillId="20" borderId="1" xfId="0" applyFont="1" applyFill="1" applyBorder="1" applyAlignment="1">
      <alignment horizontal="right" wrapText="1"/>
    </xf>
    <xf numFmtId="44" fontId="0" fillId="0" borderId="0" xfId="1" applyFont="1"/>
    <xf numFmtId="44" fontId="17" fillId="28" borderId="0" xfId="1" applyFont="1" applyFill="1" applyAlignment="1">
      <alignment horizontal="center" vertical="center"/>
    </xf>
    <xf numFmtId="44" fontId="12" fillId="26" borderId="0" xfId="0" applyNumberFormat="1" applyFont="1" applyFill="1" applyAlignment="1">
      <alignment horizontal="center" vertical="center"/>
    </xf>
    <xf numFmtId="44" fontId="6" fillId="16" borderId="1" xfId="1" applyFont="1" applyFill="1" applyBorder="1" applyAlignment="1">
      <alignment horizontal="center"/>
    </xf>
    <xf numFmtId="0" fontId="5" fillId="6" borderId="11" xfId="0"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5"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wrapText="1"/>
    </xf>
    <xf numFmtId="0" fontId="5" fillId="6" borderId="9" xfId="0" applyFont="1" applyFill="1" applyBorder="1" applyAlignment="1">
      <alignment vertical="center"/>
    </xf>
    <xf numFmtId="0" fontId="5" fillId="6" borderId="10" xfId="0" applyFont="1" applyFill="1" applyBorder="1" applyAlignment="1">
      <alignment vertical="center"/>
    </xf>
    <xf numFmtId="0" fontId="5" fillId="6" borderId="7" xfId="0" applyFont="1" applyFill="1" applyBorder="1" applyAlignment="1">
      <alignment vertical="center"/>
    </xf>
    <xf numFmtId="0" fontId="5" fillId="6" borderId="7" xfId="0" applyFont="1" applyFill="1" applyBorder="1" applyAlignment="1">
      <alignment vertical="center" wrapText="1"/>
    </xf>
    <xf numFmtId="0" fontId="0" fillId="29" borderId="0" xfId="0" applyFill="1" applyAlignment="1">
      <alignment horizontal="center" vertical="center" wrapText="1"/>
    </xf>
    <xf numFmtId="0" fontId="0" fillId="0" borderId="0" xfId="0" applyNumberFormat="1" applyAlignment="1">
      <alignment horizontal="left"/>
    </xf>
    <xf numFmtId="0" fontId="0" fillId="0" borderId="0" xfId="0" applyNumberFormat="1" applyAlignment="1">
      <alignment horizontal="left" wrapText="1"/>
    </xf>
    <xf numFmtId="0" fontId="0" fillId="0" borderId="0" xfId="0" applyAlignment="1">
      <alignment horizontal="left"/>
    </xf>
    <xf numFmtId="1" fontId="0" fillId="0" borderId="0" xfId="0" applyNumberFormat="1" applyAlignment="1">
      <alignment horizontal="left" wrapText="1"/>
    </xf>
    <xf numFmtId="0" fontId="0" fillId="10" borderId="1" xfId="0" applyFill="1" applyBorder="1" applyAlignment="1">
      <alignment horizontal="right" wrapText="1"/>
    </xf>
    <xf numFmtId="0" fontId="18" fillId="16" borderId="1" xfId="0" applyFont="1" applyFill="1" applyBorder="1" applyAlignment="1">
      <alignment horizontal="right" wrapText="1"/>
    </xf>
    <xf numFmtId="0" fontId="0" fillId="16" borderId="0" xfId="0" applyFill="1" applyAlignment="1">
      <alignment horizontal="center" vertical="center" wrapText="1"/>
    </xf>
    <xf numFmtId="168" fontId="0" fillId="0" borderId="0" xfId="0" applyNumberFormat="1"/>
    <xf numFmtId="0" fontId="0" fillId="0" borderId="0" xfId="0" applyAlignment="1">
      <alignment wrapText="1"/>
    </xf>
    <xf numFmtId="0" fontId="10" fillId="0" borderId="0" xfId="0" applyFont="1" applyAlignment="1">
      <alignment horizontal="center" wrapText="1"/>
    </xf>
    <xf numFmtId="0" fontId="10" fillId="0" borderId="0" xfId="0" applyNumberFormat="1" applyFont="1" applyAlignment="1">
      <alignment horizontal="center" wrapText="1"/>
    </xf>
    <xf numFmtId="0" fontId="9" fillId="3" borderId="3" xfId="0" applyFont="1" applyFill="1" applyBorder="1" applyAlignment="1">
      <alignment horizontal="center" vertical="center"/>
    </xf>
    <xf numFmtId="0" fontId="9" fillId="11" borderId="0" xfId="0" applyFont="1" applyFill="1"/>
    <xf numFmtId="0" fontId="9" fillId="27" borderId="0" xfId="0" applyFont="1" applyFill="1"/>
    <xf numFmtId="0" fontId="0" fillId="24" borderId="0" xfId="0" applyFill="1"/>
    <xf numFmtId="0" fontId="0" fillId="0" borderId="0" xfId="0" applyFont="1" applyAlignment="1">
      <alignment wrapText="1"/>
    </xf>
    <xf numFmtId="0" fontId="9" fillId="0" borderId="0" xfId="4" applyFont="1" applyFill="1" applyBorder="1" applyAlignment="1" applyProtection="1">
      <alignment wrapText="1" readingOrder="1"/>
      <protection locked="0"/>
    </xf>
    <xf numFmtId="9" fontId="0" fillId="16" borderId="1" xfId="2" applyFont="1" applyFill="1" applyBorder="1" applyAlignment="1">
      <alignment horizontal="center"/>
    </xf>
    <xf numFmtId="165" fontId="9" fillId="16" borderId="1" xfId="1" applyNumberFormat="1" applyFont="1" applyFill="1" applyBorder="1" applyAlignment="1">
      <alignment horizontal="center"/>
    </xf>
    <xf numFmtId="0" fontId="6" fillId="3" borderId="6" xfId="0" applyFont="1" applyFill="1" applyBorder="1" applyAlignment="1">
      <alignment vertical="center" wrapText="1"/>
    </xf>
    <xf numFmtId="0" fontId="10" fillId="0" borderId="0" xfId="0" applyFont="1" applyFill="1"/>
    <xf numFmtId="0" fontId="0" fillId="11" borderId="2" xfId="0" applyFill="1" applyBorder="1" applyAlignment="1">
      <alignment vertical="center" wrapText="1"/>
    </xf>
    <xf numFmtId="44" fontId="0" fillId="0" borderId="0" xfId="0" applyNumberFormat="1" applyAlignment="1">
      <alignment horizontal="center"/>
    </xf>
    <xf numFmtId="0" fontId="0" fillId="24" borderId="0" xfId="0" applyFill="1" applyAlignment="1">
      <alignment wrapText="1"/>
    </xf>
    <xf numFmtId="0" fontId="12" fillId="26" borderId="0" xfId="0" applyFont="1" applyFill="1" applyAlignment="1">
      <alignment horizontal="center" vertical="center" wrapText="1"/>
    </xf>
    <xf numFmtId="0" fontId="9" fillId="12" borderId="6" xfId="0" applyFont="1" applyFill="1" applyBorder="1" applyAlignment="1">
      <alignment horizontal="right" wrapText="1"/>
    </xf>
    <xf numFmtId="0" fontId="12" fillId="33" borderId="0" xfId="0" applyFont="1" applyFill="1" applyAlignment="1">
      <alignment horizontal="center" vertical="center"/>
    </xf>
    <xf numFmtId="0" fontId="0" fillId="24" borderId="0" xfId="0" applyNumberFormat="1" applyFill="1" applyAlignment="1">
      <alignment horizontal="left" wrapText="1"/>
    </xf>
    <xf numFmtId="1" fontId="0" fillId="24" borderId="1" xfId="0" applyNumberFormat="1" applyFill="1" applyBorder="1" applyAlignment="1">
      <alignment horizontal="center"/>
    </xf>
    <xf numFmtId="9" fontId="0" fillId="24" borderId="1" xfId="0" applyNumberFormat="1" applyFill="1" applyBorder="1" applyAlignment="1">
      <alignment horizontal="center"/>
    </xf>
    <xf numFmtId="0" fontId="0" fillId="24" borderId="1" xfId="2" applyNumberFormat="1" applyFont="1" applyFill="1" applyBorder="1" applyAlignment="1">
      <alignment horizontal="center"/>
    </xf>
    <xf numFmtId="1" fontId="0" fillId="3" borderId="1" xfId="0" applyNumberFormat="1" applyFill="1" applyBorder="1" applyAlignment="1">
      <alignment horizontal="center"/>
    </xf>
    <xf numFmtId="44" fontId="0" fillId="24" borderId="0" xfId="0" applyNumberFormat="1" applyFill="1"/>
    <xf numFmtId="1" fontId="0" fillId="24" borderId="0" xfId="0" applyNumberFormat="1" applyFill="1" applyAlignment="1">
      <alignment horizontal="center"/>
    </xf>
    <xf numFmtId="0" fontId="9" fillId="0" borderId="0" xfId="0" applyFont="1"/>
    <xf numFmtId="1" fontId="0" fillId="0" borderId="0" xfId="0" applyNumberFormat="1" applyAlignment="1"/>
    <xf numFmtId="168" fontId="0" fillId="11" borderId="1" xfId="1" applyNumberFormat="1" applyFont="1" applyFill="1" applyBorder="1" applyAlignment="1">
      <alignment horizontal="center"/>
    </xf>
    <xf numFmtId="168" fontId="0" fillId="16" borderId="1" xfId="1" applyNumberFormat="1" applyFont="1" applyFill="1" applyBorder="1" applyAlignment="1">
      <alignment horizontal="center"/>
    </xf>
    <xf numFmtId="0" fontId="0" fillId="24" borderId="1" xfId="0" applyFill="1" applyBorder="1" applyAlignment="1">
      <alignment horizontal="right" wrapText="1"/>
    </xf>
    <xf numFmtId="44" fontId="0" fillId="24" borderId="1" xfId="1" applyFont="1" applyFill="1" applyBorder="1" applyAlignment="1">
      <alignment horizontal="center"/>
    </xf>
    <xf numFmtId="168" fontId="0" fillId="24" borderId="1" xfId="1" applyNumberFormat="1" applyFont="1" applyFill="1" applyBorder="1" applyAlignment="1">
      <alignment horizontal="center"/>
    </xf>
    <xf numFmtId="168" fontId="0" fillId="24" borderId="1" xfId="1" applyNumberFormat="1" applyFont="1" applyFill="1" applyBorder="1"/>
    <xf numFmtId="165" fontId="0" fillId="24" borderId="1" xfId="0" applyNumberFormat="1" applyFill="1" applyBorder="1" applyAlignment="1">
      <alignment horizontal="center"/>
    </xf>
    <xf numFmtId="44" fontId="0" fillId="24" borderId="1" xfId="0" applyNumberFormat="1" applyFill="1" applyBorder="1" applyAlignment="1">
      <alignment horizontal="center"/>
    </xf>
    <xf numFmtId="9" fontId="0" fillId="0" borderId="0" xfId="2" applyFont="1" applyAlignment="1"/>
    <xf numFmtId="164" fontId="0" fillId="0" borderId="0" xfId="3" applyNumberFormat="1" applyFont="1" applyAlignment="1"/>
    <xf numFmtId="168" fontId="22" fillId="0" borderId="0" xfId="0" applyNumberFormat="1" applyFont="1" applyAlignment="1">
      <alignment horizontal="center"/>
    </xf>
    <xf numFmtId="168" fontId="9" fillId="11" borderId="0" xfId="1" applyNumberFormat="1" applyFont="1" applyFill="1"/>
    <xf numFmtId="168" fontId="9" fillId="27" borderId="0" xfId="1" applyNumberFormat="1" applyFont="1" applyFill="1"/>
    <xf numFmtId="168" fontId="0" fillId="0" borderId="0" xfId="0" applyNumberFormat="1" applyAlignment="1">
      <alignment horizontal="center"/>
    </xf>
    <xf numFmtId="168" fontId="9" fillId="11" borderId="0" xfId="0" applyNumberFormat="1" applyFont="1" applyFill="1" applyAlignment="1">
      <alignment vertical="center"/>
    </xf>
    <xf numFmtId="168" fontId="0" fillId="27" borderId="0" xfId="0" applyNumberFormat="1" applyFill="1"/>
    <xf numFmtId="168" fontId="0" fillId="11" borderId="0" xfId="0" applyNumberFormat="1" applyFill="1"/>
    <xf numFmtId="168" fontId="17" fillId="25" borderId="0" xfId="0" applyNumberFormat="1" applyFont="1" applyFill="1" applyAlignment="1">
      <alignment horizontal="center" vertical="center"/>
    </xf>
    <xf numFmtId="168" fontId="12" fillId="4" borderId="0" xfId="0" applyNumberFormat="1" applyFont="1" applyFill="1" applyAlignment="1">
      <alignment horizontal="center" vertical="center"/>
    </xf>
    <xf numFmtId="168" fontId="16" fillId="4" borderId="0" xfId="0" applyNumberFormat="1" applyFont="1" applyFill="1"/>
    <xf numFmtId="168" fontId="17" fillId="8" borderId="0" xfId="0" applyNumberFormat="1" applyFont="1" applyFill="1" applyAlignment="1">
      <alignment horizontal="center" vertical="center"/>
    </xf>
    <xf numFmtId="168" fontId="17" fillId="8" borderId="0" xfId="1" applyNumberFormat="1" applyFont="1" applyFill="1" applyAlignment="1">
      <alignment horizontal="center" vertical="center"/>
    </xf>
    <xf numFmtId="168" fontId="17" fillId="4" borderId="0" xfId="1" applyNumberFormat="1" applyFont="1" applyFill="1" applyAlignment="1">
      <alignment horizontal="center" vertical="center"/>
    </xf>
    <xf numFmtId="168" fontId="12" fillId="33" borderId="0" xfId="0" applyNumberFormat="1" applyFont="1" applyFill="1" applyAlignment="1">
      <alignment horizontal="center" vertical="center"/>
    </xf>
    <xf numFmtId="169" fontId="0" fillId="3" borderId="1" xfId="1" applyNumberFormat="1" applyFont="1" applyFill="1" applyBorder="1" applyAlignment="1">
      <alignment horizontal="center"/>
    </xf>
    <xf numFmtId="169" fontId="9" fillId="3" borderId="1" xfId="1" applyNumberFormat="1" applyFont="1" applyFill="1" applyBorder="1" applyAlignment="1">
      <alignment horizontal="center"/>
    </xf>
    <xf numFmtId="169" fontId="0" fillId="11" borderId="1" xfId="1" applyNumberFormat="1" applyFont="1" applyFill="1" applyBorder="1" applyAlignment="1">
      <alignment horizontal="center"/>
    </xf>
    <xf numFmtId="169" fontId="9" fillId="11" borderId="1" xfId="1" applyNumberFormat="1" applyFont="1" applyFill="1" applyBorder="1" applyAlignment="1">
      <alignment horizontal="center"/>
    </xf>
    <xf numFmtId="169" fontId="9" fillId="20" borderId="1" xfId="1" applyNumberFormat="1" applyFont="1" applyFill="1" applyBorder="1" applyAlignment="1">
      <alignment horizontal="center"/>
    </xf>
    <xf numFmtId="169" fontId="0" fillId="10" borderId="1" xfId="1" applyNumberFormat="1" applyFont="1" applyFill="1" applyBorder="1" applyAlignment="1">
      <alignment horizontal="center"/>
    </xf>
    <xf numFmtId="169" fontId="0" fillId="24" borderId="1" xfId="1" applyNumberFormat="1" applyFont="1" applyFill="1" applyBorder="1" applyAlignment="1">
      <alignment horizontal="center"/>
    </xf>
    <xf numFmtId="169" fontId="0" fillId="11" borderId="1" xfId="2" applyNumberFormat="1" applyFont="1" applyFill="1" applyBorder="1" applyAlignment="1">
      <alignment horizontal="center"/>
    </xf>
    <xf numFmtId="169" fontId="0" fillId="13" borderId="1" xfId="1" applyNumberFormat="1" applyFont="1" applyFill="1" applyBorder="1" applyAlignment="1">
      <alignment horizontal="center"/>
    </xf>
    <xf numFmtId="169" fontId="0" fillId="12" borderId="1" xfId="1" applyNumberFormat="1" applyFont="1" applyFill="1" applyBorder="1" applyAlignment="1">
      <alignment horizontal="center"/>
    </xf>
    <xf numFmtId="169" fontId="0" fillId="12" borderId="1" xfId="2" applyNumberFormat="1" applyFont="1" applyFill="1" applyBorder="1" applyAlignment="1">
      <alignment horizontal="center"/>
    </xf>
    <xf numFmtId="169" fontId="0" fillId="12" borderId="2" xfId="2" applyNumberFormat="1" applyFont="1" applyFill="1" applyBorder="1" applyAlignment="1">
      <alignment horizontal="center"/>
    </xf>
    <xf numFmtId="169" fontId="0" fillId="3" borderId="1" xfId="1" applyNumberFormat="1" applyFont="1" applyFill="1" applyBorder="1"/>
    <xf numFmtId="169" fontId="0" fillId="3" borderId="2" xfId="1" applyNumberFormat="1" applyFont="1" applyFill="1" applyBorder="1" applyAlignment="1">
      <alignment horizontal="center"/>
    </xf>
    <xf numFmtId="168" fontId="0" fillId="0" borderId="0" xfId="1" applyNumberFormat="1" applyFont="1"/>
    <xf numFmtId="2" fontId="0" fillId="24" borderId="0" xfId="0" applyNumberFormat="1" applyFill="1"/>
    <xf numFmtId="44" fontId="0" fillId="3" borderId="1" xfId="0" applyNumberFormat="1" applyFill="1" applyBorder="1" applyAlignment="1">
      <alignment horizontal="center"/>
    </xf>
    <xf numFmtId="165" fontId="10" fillId="3" borderId="1" xfId="1" applyNumberFormat="1" applyFont="1" applyFill="1" applyBorder="1" applyAlignment="1">
      <alignment horizontal="center"/>
    </xf>
    <xf numFmtId="165" fontId="10" fillId="3" borderId="1" xfId="0" applyNumberFormat="1" applyFont="1" applyFill="1" applyBorder="1" applyAlignment="1">
      <alignment horizontal="center"/>
    </xf>
    <xf numFmtId="9" fontId="0" fillId="9" borderId="1" xfId="2" applyFont="1" applyFill="1" applyBorder="1" applyAlignment="1">
      <alignment horizontal="center"/>
    </xf>
    <xf numFmtId="9" fontId="0" fillId="10" borderId="1" xfId="2" applyFont="1" applyFill="1" applyBorder="1" applyAlignment="1">
      <alignment horizontal="center"/>
    </xf>
    <xf numFmtId="10" fontId="0" fillId="3" borderId="1" xfId="2" applyNumberFormat="1" applyFont="1" applyFill="1" applyBorder="1"/>
    <xf numFmtId="165" fontId="0" fillId="3" borderId="1" xfId="1" applyNumberFormat="1" applyFont="1" applyFill="1" applyBorder="1"/>
    <xf numFmtId="165" fontId="0" fillId="3" borderId="2" xfId="1" applyNumberFormat="1" applyFont="1" applyFill="1" applyBorder="1" applyAlignment="1">
      <alignment horizontal="center"/>
    </xf>
    <xf numFmtId="0" fontId="6" fillId="27" borderId="0" xfId="0" applyFont="1" applyFill="1" applyAlignment="1">
      <alignment horizontal="center" vertical="center"/>
    </xf>
    <xf numFmtId="0" fontId="0" fillId="16" borderId="0" xfId="0" applyFill="1"/>
    <xf numFmtId="0" fontId="0" fillId="18" borderId="0" xfId="0" applyFill="1"/>
    <xf numFmtId="44" fontId="0" fillId="18" borderId="0" xfId="0" applyNumberFormat="1" applyFill="1"/>
    <xf numFmtId="1" fontId="0" fillId="0" borderId="0" xfId="0" applyNumberFormat="1" applyFill="1" applyAlignment="1">
      <alignment horizontal="center"/>
    </xf>
    <xf numFmtId="0" fontId="16" fillId="0" borderId="0" xfId="0" applyFont="1" applyFill="1"/>
    <xf numFmtId="168" fontId="9" fillId="0" borderId="0" xfId="0" applyNumberFormat="1" applyFont="1" applyFill="1"/>
    <xf numFmtId="168" fontId="0" fillId="0" borderId="0" xfId="0" applyNumberFormat="1" applyAlignment="1">
      <alignment horizontal="right"/>
    </xf>
    <xf numFmtId="0" fontId="0" fillId="0" borderId="0" xfId="0" applyFill="1" applyAlignment="1">
      <alignment horizontal="center" vertical="center" wrapText="1"/>
    </xf>
    <xf numFmtId="44" fontId="0" fillId="0" borderId="0" xfId="0" applyNumberFormat="1" applyFill="1" applyAlignment="1">
      <alignment horizontal="center"/>
    </xf>
    <xf numFmtId="44" fontId="0" fillId="0" borderId="0" xfId="0" applyNumberFormat="1" applyFill="1"/>
    <xf numFmtId="1" fontId="0" fillId="0" borderId="0" xfId="0" applyNumberFormat="1" applyFill="1"/>
    <xf numFmtId="0" fontId="0" fillId="0" borderId="0" xfId="0" applyNumberFormat="1" applyFill="1" applyAlignment="1">
      <alignment horizontal="center"/>
    </xf>
    <xf numFmtId="0" fontId="20"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wrapText="1"/>
    </xf>
    <xf numFmtId="0" fontId="0" fillId="3" borderId="0" xfId="0" applyFill="1"/>
    <xf numFmtId="168" fontId="0" fillId="3" borderId="0" xfId="0" applyNumberFormat="1" applyFill="1"/>
    <xf numFmtId="0" fontId="0" fillId="0" borderId="0" xfId="0" applyFont="1" applyFill="1" applyAlignment="1">
      <alignment wrapText="1"/>
    </xf>
    <xf numFmtId="0" fontId="18" fillId="0" borderId="0" xfId="0" applyFont="1" applyFill="1" applyAlignment="1">
      <alignment horizontal="center"/>
    </xf>
    <xf numFmtId="0" fontId="18" fillId="0" borderId="0" xfId="0" applyFont="1" applyFill="1" applyAlignment="1">
      <alignment wrapText="1"/>
    </xf>
    <xf numFmtId="0" fontId="9" fillId="0" borderId="0" xfId="0" applyFont="1" applyFill="1" applyAlignment="1">
      <alignment horizontal="center"/>
    </xf>
    <xf numFmtId="0" fontId="9" fillId="0" borderId="0" xfId="0" applyFont="1" applyFill="1" applyAlignment="1">
      <alignment horizontal="center" wrapText="1"/>
    </xf>
    <xf numFmtId="0" fontId="0" fillId="0" borderId="0" xfId="0" applyNumberFormat="1" applyFill="1" applyAlignment="1">
      <alignment horizontal="left" wrapText="1"/>
    </xf>
    <xf numFmtId="0" fontId="0" fillId="0" borderId="0" xfId="0" applyFill="1" applyAlignment="1">
      <alignment horizontal="left" wrapText="1"/>
    </xf>
    <xf numFmtId="0" fontId="8" fillId="0" borderId="0" xfId="0" applyFont="1" applyFill="1"/>
    <xf numFmtId="0" fontId="0" fillId="34" borderId="0" xfId="0" applyNumberFormat="1" applyFill="1" applyAlignment="1">
      <alignment horizontal="left" wrapText="1"/>
    </xf>
    <xf numFmtId="0" fontId="0" fillId="34" borderId="0" xfId="0" applyFill="1" applyAlignment="1">
      <alignment horizontal="left" wrapText="1"/>
    </xf>
    <xf numFmtId="168" fontId="0" fillId="0" borderId="0" xfId="0" applyNumberFormat="1" applyFill="1"/>
    <xf numFmtId="168" fontId="0" fillId="24" borderId="0" xfId="0" applyNumberFormat="1" applyFill="1"/>
    <xf numFmtId="0" fontId="23" fillId="0" borderId="0" xfId="0" applyFont="1" applyAlignment="1">
      <alignment horizontal="center" wrapText="1"/>
    </xf>
    <xf numFmtId="0" fontId="20" fillId="31" borderId="0" xfId="0" applyFont="1" applyFill="1" applyAlignment="1">
      <alignment horizontal="center" vertical="center" wrapText="1"/>
    </xf>
    <xf numFmtId="0" fontId="20" fillId="32" borderId="0" xfId="0" applyFont="1" applyFill="1" applyAlignment="1">
      <alignment horizontal="center" vertical="center"/>
    </xf>
    <xf numFmtId="44" fontId="0" fillId="0" borderId="0" xfId="0" applyNumberFormat="1" applyAlignment="1">
      <alignment horizontal="center" wrapText="1"/>
    </xf>
    <xf numFmtId="0" fontId="2" fillId="5" borderId="10" xfId="0" applyFont="1" applyFill="1" applyBorder="1" applyAlignment="1">
      <alignment horizontal="center" vertical="center"/>
    </xf>
    <xf numFmtId="0" fontId="2" fillId="5" borderId="0" xfId="0" applyFont="1" applyFill="1" applyBorder="1" applyAlignment="1">
      <alignment horizontal="center" vertical="center"/>
    </xf>
    <xf numFmtId="0" fontId="2" fillId="15" borderId="10" xfId="0" applyFont="1" applyFill="1" applyBorder="1" applyAlignment="1">
      <alignment horizontal="center" vertical="center"/>
    </xf>
    <xf numFmtId="0" fontId="2" fillId="15" borderId="0" xfId="0" applyFont="1" applyFill="1" applyBorder="1" applyAlignment="1">
      <alignment horizontal="center" vertical="center"/>
    </xf>
    <xf numFmtId="0" fontId="14" fillId="23" borderId="15" xfId="0" applyFont="1" applyFill="1" applyBorder="1" applyAlignment="1">
      <alignment horizontal="center" vertical="center" wrapText="1"/>
    </xf>
    <xf numFmtId="0" fontId="3" fillId="7" borderId="8" xfId="0" applyFont="1" applyFill="1" applyBorder="1" applyAlignment="1">
      <alignment horizontal="center" vertical="center" textRotation="90" wrapText="1"/>
    </xf>
    <xf numFmtId="0" fontId="3" fillId="7" borderId="5" xfId="0" applyFont="1" applyFill="1" applyBorder="1" applyAlignment="1">
      <alignment horizontal="center" vertical="center" textRotation="90" wrapText="1"/>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11" borderId="4" xfId="0" applyFill="1" applyBorder="1" applyAlignment="1">
      <alignment horizontal="center" vertical="center"/>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12" borderId="0" xfId="0" applyFont="1" applyFill="1" applyBorder="1" applyAlignment="1">
      <alignment horizontal="center" vertical="center" wrapText="1"/>
    </xf>
    <xf numFmtId="0" fontId="0" fillId="12" borderId="5" xfId="0" applyFont="1" applyFill="1" applyBorder="1" applyAlignment="1">
      <alignment horizontal="center" vertical="center" wrapText="1"/>
    </xf>
    <xf numFmtId="9" fontId="0" fillId="3" borderId="1" xfId="0" applyNumberForma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7" borderId="13"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14" fillId="21" borderId="13" xfId="0" applyFont="1" applyFill="1" applyBorder="1" applyAlignment="1">
      <alignment horizontal="center" vertical="center"/>
    </xf>
    <xf numFmtId="0" fontId="14" fillId="21" borderId="14"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12" xfId="0" applyFont="1" applyFill="1" applyBorder="1" applyAlignment="1">
      <alignment horizontal="center" vertical="center"/>
    </xf>
    <xf numFmtId="0" fontId="14" fillId="22" borderId="14"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3" borderId="3" xfId="0"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6" fillId="11" borderId="4"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0" fillId="11"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12" borderId="9" xfId="0" applyFont="1" applyFill="1" applyBorder="1" applyAlignment="1">
      <alignment horizontal="center" vertical="center" wrapText="1"/>
    </xf>
    <xf numFmtId="0" fontId="0" fillId="12" borderId="8" xfId="0" applyFont="1" applyFill="1" applyBorder="1" applyAlignment="1">
      <alignment horizontal="center" vertical="center" wrapText="1"/>
    </xf>
    <xf numFmtId="0" fontId="0" fillId="12" borderId="10" xfId="0" applyFont="1" applyFill="1" applyBorder="1" applyAlignment="1">
      <alignment horizontal="center" vertical="center" wrapText="1"/>
    </xf>
    <xf numFmtId="0" fontId="0" fillId="12" borderId="11" xfId="0" applyFont="1" applyFill="1" applyBorder="1" applyAlignment="1">
      <alignment horizontal="center" vertical="center" wrapText="1"/>
    </xf>
    <xf numFmtId="0" fontId="0" fillId="12" borderId="1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19" fillId="30" borderId="10" xfId="0" applyFont="1" applyFill="1" applyBorder="1" applyAlignment="1">
      <alignment horizontal="center" vertical="center" wrapText="1"/>
    </xf>
    <xf numFmtId="0" fontId="19" fillId="30" borderId="0"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15" borderId="15" xfId="0" applyFont="1" applyFill="1" applyBorder="1" applyAlignment="1">
      <alignment horizontal="center" vertical="center"/>
    </xf>
    <xf numFmtId="0" fontId="4" fillId="8" borderId="8" xfId="0" applyFont="1" applyFill="1" applyBorder="1" applyAlignment="1">
      <alignment horizontal="center" vertical="center" textRotation="90"/>
    </xf>
    <xf numFmtId="0" fontId="4" fillId="8" borderId="5" xfId="0" applyFont="1" applyFill="1" applyBorder="1" applyAlignment="1">
      <alignment horizontal="center" vertical="center" textRotation="90"/>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6" fillId="3" borderId="10" xfId="0" applyFont="1" applyFill="1" applyBorder="1" applyAlignment="1">
      <alignment horizontal="center" vertical="center" wrapText="1"/>
    </xf>
    <xf numFmtId="0" fontId="0" fillId="12" borderId="9" xfId="0" applyFont="1" applyFill="1" applyBorder="1" applyAlignment="1">
      <alignment horizontal="center" vertical="center"/>
    </xf>
    <xf numFmtId="0" fontId="0" fillId="12" borderId="8" xfId="0" applyFont="1" applyFill="1" applyBorder="1" applyAlignment="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0" fillId="12" borderId="11" xfId="0" applyFont="1" applyFill="1" applyBorder="1" applyAlignment="1">
      <alignment horizontal="center" vertical="center"/>
    </xf>
    <xf numFmtId="0" fontId="0" fillId="12" borderId="12" xfId="0" applyFont="1" applyFill="1" applyBorder="1" applyAlignment="1">
      <alignment horizontal="center" vertical="center"/>
    </xf>
    <xf numFmtId="0" fontId="3" fillId="2" borderId="2"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2" fillId="5" borderId="1" xfId="0" applyFont="1" applyFill="1" applyBorder="1" applyAlignment="1">
      <alignment horizontal="center" vertical="center"/>
    </xf>
    <xf numFmtId="0" fontId="0" fillId="12" borderId="10"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12" xfId="0" applyFill="1" applyBorder="1" applyAlignment="1">
      <alignment horizontal="center" vertical="center" wrapText="1"/>
    </xf>
    <xf numFmtId="0" fontId="0" fillId="11" borderId="2" xfId="0" applyFill="1" applyBorder="1" applyAlignment="1">
      <alignment horizontal="center" vertical="center" wrapText="1"/>
    </xf>
    <xf numFmtId="0" fontId="2" fillId="15" borderId="13" xfId="0" applyFont="1" applyFill="1" applyBorder="1" applyAlignment="1">
      <alignment horizontal="center" vertical="center"/>
    </xf>
    <xf numFmtId="0" fontId="2" fillId="15" borderId="14" xfId="0" applyFont="1" applyFill="1" applyBorder="1" applyAlignment="1">
      <alignment horizontal="center" vertical="center"/>
    </xf>
    <xf numFmtId="0" fontId="2" fillId="15" borderId="6" xfId="0" applyFont="1" applyFill="1" applyBorder="1" applyAlignment="1">
      <alignment horizontal="center" vertical="center"/>
    </xf>
    <xf numFmtId="0" fontId="3" fillId="18" borderId="2" xfId="0" applyFont="1" applyFill="1" applyBorder="1" applyAlignment="1">
      <alignment horizontal="center" vertical="center" textRotation="90" wrapText="1"/>
    </xf>
    <xf numFmtId="0" fontId="3" fillId="18" borderId="3" xfId="0" applyFont="1" applyFill="1" applyBorder="1" applyAlignment="1">
      <alignment horizontal="center" vertical="center" textRotation="90" wrapText="1"/>
    </xf>
    <xf numFmtId="0" fontId="3" fillId="18" borderId="4" xfId="0" applyFont="1" applyFill="1" applyBorder="1" applyAlignment="1">
      <alignment horizontal="center" vertical="center" textRotation="90" wrapText="1"/>
    </xf>
    <xf numFmtId="0" fontId="0" fillId="13" borderId="15" xfId="0" applyFill="1" applyBorder="1" applyAlignment="1">
      <alignment horizontal="center" wrapText="1"/>
    </xf>
    <xf numFmtId="0" fontId="0" fillId="13" borderId="12" xfId="0" applyFill="1" applyBorder="1" applyAlignment="1">
      <alignment horizontal="center" wrapText="1"/>
    </xf>
  </cellXfs>
  <cellStyles count="5">
    <cellStyle name="Comma" xfId="3" builtinId="3"/>
    <cellStyle name="Currency" xfId="1" builtinId="4"/>
    <cellStyle name="Normal" xfId="0" builtinId="0"/>
    <cellStyle name="Normal 2" xfId="4"/>
    <cellStyle name="Percent" xfId="2" builtinId="5"/>
  </cellStyles>
  <dxfs count="0"/>
  <tableStyles count="0" defaultTableStyle="TableStyleMedium2" defaultPivotStyle="PivotStyleLight16"/>
  <colors>
    <mruColors>
      <color rgb="FF0099FF"/>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REVENUE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spPr>
            <a:ln w="22225" cap="rnd" cmpd="sng" algn="ctr">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Financial!$F$7:$L$7</c:f>
              <c:strCache>
                <c:ptCount val="7"/>
                <c:pt idx="0">
                  <c:v>FY13</c:v>
                </c:pt>
                <c:pt idx="1">
                  <c:v>FY14</c:v>
                </c:pt>
                <c:pt idx="2">
                  <c:v>FY15</c:v>
                </c:pt>
                <c:pt idx="3">
                  <c:v>FY16</c:v>
                </c:pt>
                <c:pt idx="4">
                  <c:v>FY17</c:v>
                </c:pt>
                <c:pt idx="5">
                  <c:v>FY18</c:v>
                </c:pt>
                <c:pt idx="6">
                  <c:v>FY19</c:v>
                </c:pt>
              </c:strCache>
            </c:strRef>
          </c:cat>
          <c:val>
            <c:numRef>
              <c:f>Financial!$F$12:$L$12</c:f>
              <c:numCache>
                <c:formatCode>"$"#,##0</c:formatCode>
                <c:ptCount val="7"/>
                <c:pt idx="0">
                  <c:v>600</c:v>
                </c:pt>
                <c:pt idx="1">
                  <c:v>1500</c:v>
                </c:pt>
                <c:pt idx="2">
                  <c:v>8181</c:v>
                </c:pt>
                <c:pt idx="3">
                  <c:v>11706</c:v>
                </c:pt>
                <c:pt idx="4">
                  <c:v>13448</c:v>
                </c:pt>
                <c:pt idx="5">
                  <c:v>11116</c:v>
                </c:pt>
                <c:pt idx="6">
                  <c:v>35510</c:v>
                </c:pt>
              </c:numCache>
            </c:numRef>
          </c:val>
          <c:smooth val="0"/>
          <c:extLst>
            <c:ext xmlns:c16="http://schemas.microsoft.com/office/drawing/2014/chart" uri="{C3380CC4-5D6E-409C-BE32-E72D297353CC}">
              <c16:uniqueId val="{00000000-F293-48A1-B666-394E64D5E5BD}"/>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73802280"/>
        <c:axId val="373797032"/>
      </c:lineChart>
      <c:catAx>
        <c:axId val="37380228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373797032"/>
        <c:crosses val="autoZero"/>
        <c:auto val="0"/>
        <c:lblAlgn val="ctr"/>
        <c:lblOffset val="100"/>
        <c:tickLblSkip val="1"/>
        <c:noMultiLvlLbl val="0"/>
      </c:catAx>
      <c:valAx>
        <c:axId val="373797032"/>
        <c:scaling>
          <c:orientation val="minMax"/>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373802280"/>
        <c:crossesAt val="1"/>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Innovative Licenses and Programs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Calculations!$B$3</c:f>
              <c:strCache>
                <c:ptCount val="1"/>
                <c:pt idx="0">
                  <c:v> LLLTs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Calculations!$C$3:$I$3</c:f>
              <c:numCache>
                <c:formatCode>General</c:formatCode>
                <c:ptCount val="7"/>
                <c:pt idx="0">
                  <c:v>0</c:v>
                </c:pt>
                <c:pt idx="1">
                  <c:v>0</c:v>
                </c:pt>
                <c:pt idx="2">
                  <c:v>3</c:v>
                </c:pt>
                <c:pt idx="3">
                  <c:v>16</c:v>
                </c:pt>
                <c:pt idx="4">
                  <c:v>24</c:v>
                </c:pt>
                <c:pt idx="5">
                  <c:v>38</c:v>
                </c:pt>
                <c:pt idx="6">
                  <c:v>43</c:v>
                </c:pt>
              </c:numCache>
            </c:numRef>
          </c:val>
          <c:smooth val="0"/>
          <c:extLst>
            <c:ext xmlns:c16="http://schemas.microsoft.com/office/drawing/2014/chart" uri="{C3380CC4-5D6E-409C-BE32-E72D297353CC}">
              <c16:uniqueId val="{00000000-2AD5-40D3-B293-5A20936075A9}"/>
            </c:ext>
          </c:extLst>
        </c:ser>
        <c:ser>
          <c:idx val="1"/>
          <c:order val="1"/>
          <c:tx>
            <c:strRef>
              <c:f>Calculations!$B$4</c:f>
              <c:strCache>
                <c:ptCount val="1"/>
                <c:pt idx="0">
                  <c:v>LPOs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Calculations!$C$4:$I$4</c:f>
              <c:numCache>
                <c:formatCode>#,##0</c:formatCode>
                <c:ptCount val="7"/>
                <c:pt idx="0">
                  <c:v>1027</c:v>
                </c:pt>
                <c:pt idx="1">
                  <c:v>1003</c:v>
                </c:pt>
                <c:pt idx="2" formatCode="General">
                  <c:v>968</c:v>
                </c:pt>
                <c:pt idx="3" formatCode="General">
                  <c:v>963</c:v>
                </c:pt>
                <c:pt idx="4" formatCode="General">
                  <c:v>950</c:v>
                </c:pt>
                <c:pt idx="5" formatCode="General">
                  <c:v>974</c:v>
                </c:pt>
                <c:pt idx="6" formatCode="General">
                  <c:v>981</c:v>
                </c:pt>
              </c:numCache>
            </c:numRef>
          </c:val>
          <c:smooth val="0"/>
          <c:extLst>
            <c:ext xmlns:c16="http://schemas.microsoft.com/office/drawing/2014/chart" uri="{C3380CC4-5D6E-409C-BE32-E72D297353CC}">
              <c16:uniqueId val="{00000001-2AD5-40D3-B293-5A20936075A9}"/>
            </c:ext>
          </c:extLst>
        </c:ser>
        <c:ser>
          <c:idx val="2"/>
          <c:order val="2"/>
          <c:tx>
            <c:strRef>
              <c:f>Calculations!$B$5</c:f>
              <c:strCache>
                <c:ptCount val="1"/>
                <c:pt idx="0">
                  <c:v>Rule 9s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Calculations!$C$5:$I$5</c:f>
              <c:numCache>
                <c:formatCode>#,##0</c:formatCode>
                <c:ptCount val="7"/>
                <c:pt idx="0">
                  <c:v>405</c:v>
                </c:pt>
                <c:pt idx="1">
                  <c:v>378</c:v>
                </c:pt>
                <c:pt idx="2" formatCode="General">
                  <c:v>322</c:v>
                </c:pt>
                <c:pt idx="3" formatCode="General">
                  <c:v>312</c:v>
                </c:pt>
                <c:pt idx="4" formatCode="General">
                  <c:v>282</c:v>
                </c:pt>
                <c:pt idx="5" formatCode="General">
                  <c:v>285</c:v>
                </c:pt>
                <c:pt idx="6" formatCode="General">
                  <c:v>295</c:v>
                </c:pt>
              </c:numCache>
            </c:numRef>
          </c:val>
          <c:smooth val="0"/>
          <c:extLst>
            <c:ext xmlns:c16="http://schemas.microsoft.com/office/drawing/2014/chart" uri="{C3380CC4-5D6E-409C-BE32-E72D297353CC}">
              <c16:uniqueId val="{00000002-2AD5-40D3-B293-5A20936075A9}"/>
            </c:ext>
          </c:extLst>
        </c:ser>
        <c:ser>
          <c:idx val="3"/>
          <c:order val="3"/>
          <c:tx>
            <c:strRef>
              <c:f>Calculations!$B$6</c:f>
              <c:strCache>
                <c:ptCount val="1"/>
                <c:pt idx="0">
                  <c:v>Law Clerks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Calculations!$C$6:$I$6</c:f>
              <c:numCache>
                <c:formatCode>#,##0</c:formatCode>
                <c:ptCount val="7"/>
                <c:pt idx="0">
                  <c:v>60</c:v>
                </c:pt>
                <c:pt idx="1">
                  <c:v>67</c:v>
                </c:pt>
                <c:pt idx="2" formatCode="General">
                  <c:v>71</c:v>
                </c:pt>
                <c:pt idx="3" formatCode="General">
                  <c:v>72</c:v>
                </c:pt>
                <c:pt idx="4" formatCode="General">
                  <c:v>75</c:v>
                </c:pt>
                <c:pt idx="5" formatCode="General">
                  <c:v>81</c:v>
                </c:pt>
                <c:pt idx="6" formatCode="General">
                  <c:v>81</c:v>
                </c:pt>
              </c:numCache>
            </c:numRef>
          </c:val>
          <c:smooth val="0"/>
          <c:extLst>
            <c:ext xmlns:c16="http://schemas.microsoft.com/office/drawing/2014/chart" uri="{C3380CC4-5D6E-409C-BE32-E72D297353CC}">
              <c16:uniqueId val="{00000003-2AD5-40D3-B293-5A20936075A9}"/>
            </c:ext>
          </c:extLst>
        </c:ser>
        <c:dLbls>
          <c:showLegendKey val="0"/>
          <c:showVal val="0"/>
          <c:showCatName val="0"/>
          <c:showSerName val="0"/>
          <c:showPercent val="0"/>
          <c:showBubbleSize val="0"/>
        </c:dLbls>
        <c:marker val="1"/>
        <c:smooth val="0"/>
        <c:axId val="396587952"/>
        <c:axId val="396589264"/>
      </c:lineChart>
      <c:catAx>
        <c:axId val="3965879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589264"/>
        <c:crosses val="autoZero"/>
        <c:auto val="1"/>
        <c:lblAlgn val="ctr"/>
        <c:lblOffset val="100"/>
        <c:noMultiLvlLbl val="0"/>
      </c:catAx>
      <c:valAx>
        <c:axId val="396589264"/>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587952"/>
        <c:crosses val="autoZero"/>
        <c:crossBetween val="between"/>
        <c:majorUnit val="10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LLLT BUDGET</a:t>
            </a:r>
            <a:r>
              <a:rPr lang="en-US" baseline="0"/>
              <a:t> PERFORMANCE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9BBB59"/>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Financial!$F$7:$L$7</c:f>
              <c:strCache>
                <c:ptCount val="7"/>
                <c:pt idx="0">
                  <c:v>FY13</c:v>
                </c:pt>
                <c:pt idx="1">
                  <c:v>FY14</c:v>
                </c:pt>
                <c:pt idx="2">
                  <c:v>FY15</c:v>
                </c:pt>
                <c:pt idx="3">
                  <c:v>FY16</c:v>
                </c:pt>
                <c:pt idx="4">
                  <c:v>FY17</c:v>
                </c:pt>
                <c:pt idx="5">
                  <c:v>FY18</c:v>
                </c:pt>
                <c:pt idx="6">
                  <c:v>FY19</c:v>
                </c:pt>
              </c:strCache>
            </c:strRef>
          </c:cat>
          <c:val>
            <c:numRef>
              <c:f>Calculations!$C$13:$I$13</c:f>
              <c:numCache>
                <c:formatCode>"$"#,##0.00</c:formatCode>
                <c:ptCount val="7"/>
                <c:pt idx="0">
                  <c:v>19182</c:v>
                </c:pt>
                <c:pt idx="1">
                  <c:v>-24297</c:v>
                </c:pt>
                <c:pt idx="2">
                  <c:v>-7957</c:v>
                </c:pt>
                <c:pt idx="3">
                  <c:v>21478</c:v>
                </c:pt>
                <c:pt idx="4">
                  <c:v>32156</c:v>
                </c:pt>
                <c:pt idx="5">
                  <c:v>1912</c:v>
                </c:pt>
                <c:pt idx="6">
                  <c:v>24121</c:v>
                </c:pt>
              </c:numCache>
            </c:numRef>
          </c:val>
          <c:extLst>
            <c:ext xmlns:c14="http://schemas.microsoft.com/office/drawing/2007/8/2/chart" uri="{6F2FDCE9-48DA-4B69-8628-5D25D57E5C99}">
              <c14:invertSolidFillFmt>
                <c14:spPr xmlns:c14="http://schemas.microsoft.com/office/drawing/2007/8/2/chart">
                  <a:solidFill>
                    <a:srgbClr val="C0504D"/>
                  </a:solidFill>
                  <a:ln>
                    <a:noFill/>
                  </a:ln>
                  <a:effectLst/>
                </c14:spPr>
              </c14:invertSolidFillFmt>
            </c:ext>
            <c:ext xmlns:c16="http://schemas.microsoft.com/office/drawing/2014/chart" uri="{C3380CC4-5D6E-409C-BE32-E72D297353CC}">
              <c16:uniqueId val="{00000000-FCF8-446A-96C0-7B291B42751F}"/>
            </c:ext>
          </c:extLst>
        </c:ser>
        <c:dLbls>
          <c:dLblPos val="outEnd"/>
          <c:showLegendKey val="0"/>
          <c:showVal val="1"/>
          <c:showCatName val="0"/>
          <c:showSerName val="0"/>
          <c:showPercent val="0"/>
          <c:showBubbleSize val="0"/>
        </c:dLbls>
        <c:gapWidth val="219"/>
        <c:overlap val="-27"/>
        <c:axId val="395432296"/>
        <c:axId val="395435248"/>
      </c:barChart>
      <c:catAx>
        <c:axId val="39543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435248"/>
        <c:crosses val="autoZero"/>
        <c:auto val="1"/>
        <c:lblAlgn val="ctr"/>
        <c:lblOffset val="100"/>
        <c:noMultiLvlLbl val="0"/>
      </c:catAx>
      <c:valAx>
        <c:axId val="3954352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432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1.04% OF WSBA's GENERAL FUND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EC-44B5-9CBA-C7809E7367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EC-44B5-9CBA-C7809E73674F}"/>
              </c:ext>
            </c:extLst>
          </c:dPt>
          <c:cat>
            <c:strLit>
              <c:ptCount val="1"/>
              <c:pt idx="0">
                <c:v>lllt</c:v>
              </c:pt>
            </c:strLit>
          </c:cat>
          <c:val>
            <c:numRef>
              <c:f>Calculations!$I$36:$I$37</c:f>
              <c:numCache>
                <c:formatCode>"$"#,##0.00</c:formatCode>
                <c:ptCount val="2"/>
                <c:pt idx="0">
                  <c:v>1278724</c:v>
                </c:pt>
                <c:pt idx="1">
                  <c:v>123290414</c:v>
                </c:pt>
              </c:numCache>
            </c:numRef>
          </c:val>
          <c:extLst>
            <c:ext xmlns:c16="http://schemas.microsoft.com/office/drawing/2014/chart" uri="{C3380CC4-5D6E-409C-BE32-E72D297353CC}">
              <c16:uniqueId val="{00000000-7DC2-4C5E-88AB-DA94EFB4ECF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a:t>
            </a:r>
            <a:r>
              <a:rPr lang="en-US" baseline="0"/>
              <a:t> vs Direct Costs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Calculations!$A$70</c:f>
              <c:strCache>
                <c:ptCount val="1"/>
                <c:pt idx="0">
                  <c:v>REVENUE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11"/>
              <c:pt idx="0">
                <c:v>FY20</c:v>
              </c:pt>
              <c:pt idx="1">
                <c:v> FY21</c:v>
              </c:pt>
              <c:pt idx="2">
                <c:v> FY22</c:v>
              </c:pt>
              <c:pt idx="3">
                <c:v> FY23</c:v>
              </c:pt>
              <c:pt idx="4">
                <c:v> FY24</c:v>
              </c:pt>
              <c:pt idx="5">
                <c:v> FY25</c:v>
              </c:pt>
              <c:pt idx="6">
                <c:v> FY26</c:v>
              </c:pt>
              <c:pt idx="7">
                <c:v> FY27</c:v>
              </c:pt>
              <c:pt idx="8">
                <c:v> FY28</c:v>
              </c:pt>
              <c:pt idx="9">
                <c:v> FY29</c:v>
              </c:pt>
              <c:pt idx="10">
                <c:v> FY30</c:v>
              </c:pt>
            </c:strLit>
          </c:cat>
          <c:val>
            <c:numRef>
              <c:f>Calculations!$B$70:$L$70</c:f>
              <c:numCache>
                <c:formatCode>_("$"* #,##0.00_);_("$"* \(#,##0.00\);_("$"* "-"??_);_(@_)</c:formatCode>
                <c:ptCount val="11"/>
                <c:pt idx="0">
                  <c:v>25396.785</c:v>
                </c:pt>
                <c:pt idx="1">
                  <c:v>35386.36825</c:v>
                </c:pt>
                <c:pt idx="2">
                  <c:v>64019.838749999995</c:v>
                </c:pt>
                <c:pt idx="3">
                  <c:v>84613.465125000002</c:v>
                </c:pt>
                <c:pt idx="4">
                  <c:v>84755.03575687499</c:v>
                </c:pt>
                <c:pt idx="5">
                  <c:v>105120.61745771875</c:v>
                </c:pt>
                <c:pt idx="6">
                  <c:v>123009.78572738748</c:v>
                </c:pt>
                <c:pt idx="7">
                  <c:v>143319.25135171195</c:v>
                </c:pt>
                <c:pt idx="8">
                  <c:v>173700.81518091809</c:v>
                </c:pt>
                <c:pt idx="9">
                  <c:v>202750.09898465883</c:v>
                </c:pt>
                <c:pt idx="10">
                  <c:v>239478.08792186907</c:v>
                </c:pt>
              </c:numCache>
            </c:numRef>
          </c:val>
          <c:smooth val="0"/>
          <c:extLst>
            <c:ext xmlns:c16="http://schemas.microsoft.com/office/drawing/2014/chart" uri="{C3380CC4-5D6E-409C-BE32-E72D297353CC}">
              <c16:uniqueId val="{00000000-DE48-4021-B167-ED1F16FE9834}"/>
            </c:ext>
          </c:extLst>
        </c:ser>
        <c:ser>
          <c:idx val="1"/>
          <c:order val="1"/>
          <c:tx>
            <c:strRef>
              <c:f>Calculations!$A$71</c:f>
              <c:strCache>
                <c:ptCount val="1"/>
                <c:pt idx="0">
                  <c:v>DIRECT COSTS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11"/>
              <c:pt idx="0">
                <c:v>FY20</c:v>
              </c:pt>
              <c:pt idx="1">
                <c:v> FY21</c:v>
              </c:pt>
              <c:pt idx="2">
                <c:v> FY22</c:v>
              </c:pt>
              <c:pt idx="3">
                <c:v> FY23</c:v>
              </c:pt>
              <c:pt idx="4">
                <c:v> FY24</c:v>
              </c:pt>
              <c:pt idx="5">
                <c:v> FY25</c:v>
              </c:pt>
              <c:pt idx="6">
                <c:v> FY26</c:v>
              </c:pt>
              <c:pt idx="7">
                <c:v> FY27</c:v>
              </c:pt>
              <c:pt idx="8">
                <c:v> FY28</c:v>
              </c:pt>
              <c:pt idx="9">
                <c:v> FY29</c:v>
              </c:pt>
              <c:pt idx="10">
                <c:v> FY30</c:v>
              </c:pt>
            </c:strLit>
          </c:cat>
          <c:val>
            <c:numRef>
              <c:f>Calculations!$B$71:$L$71</c:f>
              <c:numCache>
                <c:formatCode>_("$"* #,##0.00_);_("$"* \(#,##0.00\);_("$"* "-"??_);_(@_)</c:formatCode>
                <c:ptCount val="11"/>
                <c:pt idx="0">
                  <c:v>34752.5</c:v>
                </c:pt>
                <c:pt idx="1">
                  <c:v>39003.1159825</c:v>
                </c:pt>
                <c:pt idx="2">
                  <c:v>38904.014399874999</c:v>
                </c:pt>
                <c:pt idx="3">
                  <c:v>26905.126786106252</c:v>
                </c:pt>
                <c:pt idx="4">
                  <c:v>26016.445633397187</c:v>
                </c:pt>
                <c:pt idx="5">
                  <c:v>23629.082109344265</c:v>
                </c:pt>
                <c:pt idx="6">
                  <c:v>34222.964552606551</c:v>
                </c:pt>
                <c:pt idx="7">
                  <c:v>35249.653489184748</c:v>
                </c:pt>
                <c:pt idx="8">
                  <c:v>36307.143093860293</c:v>
                </c:pt>
                <c:pt idx="9">
                  <c:v>37396.3573866761</c:v>
                </c:pt>
                <c:pt idx="10">
                  <c:v>38518.248108276384</c:v>
                </c:pt>
              </c:numCache>
            </c:numRef>
          </c:val>
          <c:smooth val="0"/>
          <c:extLst>
            <c:ext xmlns:c16="http://schemas.microsoft.com/office/drawing/2014/chart" uri="{C3380CC4-5D6E-409C-BE32-E72D297353CC}">
              <c16:uniqueId val="{00000001-DE48-4021-B167-ED1F16FE9834}"/>
            </c:ext>
          </c:extLst>
        </c:ser>
        <c:dLbls>
          <c:showLegendKey val="0"/>
          <c:showVal val="0"/>
          <c:showCatName val="0"/>
          <c:showSerName val="0"/>
          <c:showPercent val="0"/>
          <c:showBubbleSize val="0"/>
        </c:dLbls>
        <c:marker val="1"/>
        <c:smooth val="0"/>
        <c:axId val="626614800"/>
        <c:axId val="626608896"/>
      </c:lineChart>
      <c:catAx>
        <c:axId val="62661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608896"/>
        <c:crosses val="autoZero"/>
        <c:auto val="1"/>
        <c:lblAlgn val="ctr"/>
        <c:lblOffset val="100"/>
        <c:noMultiLvlLbl val="0"/>
      </c:catAx>
      <c:valAx>
        <c:axId val="6266088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614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Direct vs Indirect Costs</a:t>
            </a:r>
          </a:p>
        </c:rich>
      </c:tx>
      <c:overlay val="0"/>
      <c:spPr>
        <a:noFill/>
        <a:ln>
          <a:noFill/>
        </a:ln>
        <a:effectLst/>
      </c:spPr>
    </c:title>
    <c:autoTitleDeleted val="0"/>
    <c:plotArea>
      <c:layout/>
      <c:barChart>
        <c:barDir val="col"/>
        <c:grouping val="stacked"/>
        <c:varyColors val="0"/>
        <c:ser>
          <c:idx val="0"/>
          <c:order val="0"/>
          <c:tx>
            <c:strRef>
              <c:f>Calculations!$A$71</c:f>
              <c:strCache>
                <c:ptCount val="1"/>
                <c:pt idx="0">
                  <c:v>DIRECT COSTS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5400000" spcFirstLastPara="1" vertOverflow="ellipsis" vert="horz" wrap="square" lIns="38100" tIns="19050" rIns="38100" bIns="19050" anchor="b" anchorCtr="0">
                <a:spAutoFit/>
              </a:bodyPr>
              <a:lstStyle/>
              <a:p>
                <a:pPr>
                  <a:defRPr sz="900" b="0"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2">
                          <a:lumMod val="35000"/>
                          <a:lumOff val="65000"/>
                        </a:schemeClr>
                      </a:solidFill>
                    </a:ln>
                    <a:effectLst/>
                  </c:spPr>
                </c15:leaderLines>
              </c:ext>
            </c:extLst>
          </c:dLbls>
          <c:cat>
            <c:strLit>
              <c:ptCount val="11"/>
              <c:pt idx="0">
                <c:v>FY20</c:v>
              </c:pt>
              <c:pt idx="1">
                <c:v> FY21</c:v>
              </c:pt>
              <c:pt idx="2">
                <c:v> FY22</c:v>
              </c:pt>
              <c:pt idx="3">
                <c:v> FY23</c:v>
              </c:pt>
              <c:pt idx="4">
                <c:v> FY24</c:v>
              </c:pt>
              <c:pt idx="5">
                <c:v> FY25</c:v>
              </c:pt>
              <c:pt idx="6">
                <c:v> FY26</c:v>
              </c:pt>
              <c:pt idx="7">
                <c:v> FY27</c:v>
              </c:pt>
              <c:pt idx="8">
                <c:v> FY28</c:v>
              </c:pt>
              <c:pt idx="9">
                <c:v> FY29</c:v>
              </c:pt>
              <c:pt idx="10">
                <c:v> FY30</c:v>
              </c:pt>
            </c:strLit>
          </c:cat>
          <c:val>
            <c:numRef>
              <c:f>Calculations!$B$71:$L$71</c:f>
              <c:numCache>
                <c:formatCode>_("$"* #,##0.00_);_("$"* \(#,##0.00\);_("$"* "-"??_);_(@_)</c:formatCode>
                <c:ptCount val="11"/>
                <c:pt idx="0">
                  <c:v>34752.5</c:v>
                </c:pt>
                <c:pt idx="1">
                  <c:v>39003.1159825</c:v>
                </c:pt>
                <c:pt idx="2">
                  <c:v>38904.014399874999</c:v>
                </c:pt>
                <c:pt idx="3">
                  <c:v>26905.126786106252</c:v>
                </c:pt>
                <c:pt idx="4">
                  <c:v>26016.445633397187</c:v>
                </c:pt>
                <c:pt idx="5">
                  <c:v>23629.082109344265</c:v>
                </c:pt>
                <c:pt idx="6">
                  <c:v>34222.964552606551</c:v>
                </c:pt>
                <c:pt idx="7">
                  <c:v>35249.653489184748</c:v>
                </c:pt>
                <c:pt idx="8">
                  <c:v>36307.143093860293</c:v>
                </c:pt>
                <c:pt idx="9">
                  <c:v>37396.3573866761</c:v>
                </c:pt>
                <c:pt idx="10">
                  <c:v>38518.248108276384</c:v>
                </c:pt>
              </c:numCache>
            </c:numRef>
          </c:val>
          <c:extLst>
            <c:ext xmlns:c16="http://schemas.microsoft.com/office/drawing/2014/chart" uri="{C3380CC4-5D6E-409C-BE32-E72D297353CC}">
              <c16:uniqueId val="{00000000-EBCA-4A8C-B614-B9DE2BDBFA05}"/>
            </c:ext>
          </c:extLst>
        </c:ser>
        <c:ser>
          <c:idx val="1"/>
          <c:order val="1"/>
          <c:tx>
            <c:strRef>
              <c:f>Calculations!$A$72</c:f>
              <c:strCache>
                <c:ptCount val="1"/>
                <c:pt idx="0">
                  <c:v>INDIRECT COSTS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Lit>
              <c:ptCount val="11"/>
              <c:pt idx="0">
                <c:v>FY20</c:v>
              </c:pt>
              <c:pt idx="1">
                <c:v> FY21</c:v>
              </c:pt>
              <c:pt idx="2">
                <c:v> FY22</c:v>
              </c:pt>
              <c:pt idx="3">
                <c:v> FY23</c:v>
              </c:pt>
              <c:pt idx="4">
                <c:v> FY24</c:v>
              </c:pt>
              <c:pt idx="5">
                <c:v> FY25</c:v>
              </c:pt>
              <c:pt idx="6">
                <c:v> FY26</c:v>
              </c:pt>
              <c:pt idx="7">
                <c:v> FY27</c:v>
              </c:pt>
              <c:pt idx="8">
                <c:v> FY28</c:v>
              </c:pt>
              <c:pt idx="9">
                <c:v> FY29</c:v>
              </c:pt>
              <c:pt idx="10">
                <c:v> FY30</c:v>
              </c:pt>
            </c:strLit>
          </c:cat>
          <c:val>
            <c:numRef>
              <c:f>Calculations!$B$72:$L$72</c:f>
              <c:numCache>
                <c:formatCode>_("$"* #,##0.00_);_("$"* \(#,##0.00\);_("$"* "-"??_);_(@_)</c:formatCode>
                <c:ptCount val="11"/>
                <c:pt idx="0">
                  <c:v>179579</c:v>
                </c:pt>
                <c:pt idx="1">
                  <c:v>184966.37</c:v>
                </c:pt>
                <c:pt idx="2">
                  <c:v>177719.55326492537</c:v>
                </c:pt>
                <c:pt idx="3">
                  <c:v>183051.13986287313</c:v>
                </c:pt>
                <c:pt idx="4">
                  <c:v>188542.67405875932</c:v>
                </c:pt>
                <c:pt idx="5">
                  <c:v>155359.1634244177</c:v>
                </c:pt>
                <c:pt idx="6">
                  <c:v>160019.93832715022</c:v>
                </c:pt>
                <c:pt idx="7">
                  <c:v>164820.53647696474</c:v>
                </c:pt>
                <c:pt idx="8">
                  <c:v>169765.15257127368</c:v>
                </c:pt>
                <c:pt idx="9">
                  <c:v>174858.10714841189</c:v>
                </c:pt>
                <c:pt idx="10">
                  <c:v>180103.85036286426</c:v>
                </c:pt>
              </c:numCache>
            </c:numRef>
          </c:val>
          <c:extLst>
            <c:ext xmlns:c16="http://schemas.microsoft.com/office/drawing/2014/chart" uri="{C3380CC4-5D6E-409C-BE32-E72D297353CC}">
              <c16:uniqueId val="{00000001-EBCA-4A8C-B614-B9DE2BDBFA05}"/>
            </c:ext>
          </c:extLst>
        </c:ser>
        <c:dLbls>
          <c:dLblPos val="ctr"/>
          <c:showLegendKey val="0"/>
          <c:showVal val="1"/>
          <c:showCatName val="0"/>
          <c:showSerName val="0"/>
          <c:showPercent val="0"/>
          <c:showBubbleSize val="0"/>
        </c:dLbls>
        <c:gapWidth val="150"/>
        <c:overlap val="100"/>
        <c:axId val="626602992"/>
        <c:axId val="626598400"/>
      </c:barChart>
      <c:catAx>
        <c:axId val="62660299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6598400"/>
        <c:crosses val="autoZero"/>
        <c:auto val="1"/>
        <c:lblAlgn val="ctr"/>
        <c:lblOffset val="100"/>
        <c:noMultiLvlLbl val="0"/>
      </c:catAx>
      <c:valAx>
        <c:axId val="626598400"/>
        <c:scaling>
          <c:orientation val="minMax"/>
        </c:scaling>
        <c:delete val="0"/>
        <c:axPos val="l"/>
        <c:majorGridlines>
          <c:spPr>
            <a:ln w="9525" cap="flat" cmpd="sng" algn="ctr">
              <a:solidFill>
                <a:schemeClr val="tx2">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660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1"/>
        <c:ser>
          <c:idx val="0"/>
          <c:order val="0"/>
          <c:tx>
            <c:strRef>
              <c:f>Calculations!$A$73</c:f>
              <c:strCache>
                <c:ptCount val="1"/>
                <c:pt idx="0">
                  <c:v>NET INCOME/LOSS</c:v>
                </c:pt>
              </c:strCache>
            </c:strRef>
          </c:tx>
          <c:spPr>
            <a:solidFill>
              <a:srgbClr val="0070C0">
                <a:alpha val="84706"/>
              </a:srgbClr>
            </a:solidFill>
          </c:spPr>
          <c:invertIfNegative val="1"/>
          <c:dPt>
            <c:idx val="0"/>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1-7F4D-458A-94FD-81403018DC69}"/>
              </c:ext>
            </c:extLst>
          </c:dPt>
          <c:dPt>
            <c:idx val="1"/>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3-7F4D-458A-94FD-81403018DC69}"/>
              </c:ext>
            </c:extLst>
          </c:dPt>
          <c:dPt>
            <c:idx val="2"/>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5-7F4D-458A-94FD-81403018DC69}"/>
              </c:ext>
            </c:extLst>
          </c:dPt>
          <c:dPt>
            <c:idx val="3"/>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7-7F4D-458A-94FD-81403018DC69}"/>
              </c:ext>
            </c:extLst>
          </c:dPt>
          <c:dPt>
            <c:idx val="4"/>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9-7F4D-458A-94FD-81403018DC69}"/>
              </c:ext>
            </c:extLst>
          </c:dPt>
          <c:dPt>
            <c:idx val="5"/>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0-69F9-457F-A7B8-040021AAE54F}"/>
              </c:ext>
            </c:extLst>
          </c:dPt>
          <c:dPt>
            <c:idx val="6"/>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1-69F9-457F-A7B8-040021AAE54F}"/>
              </c:ext>
            </c:extLst>
          </c:dPt>
          <c:dPt>
            <c:idx val="7"/>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2-69F9-457F-A7B8-040021AAE54F}"/>
              </c:ext>
            </c:extLst>
          </c:dPt>
          <c:dPt>
            <c:idx val="8"/>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3-69F9-457F-A7B8-040021AAE54F}"/>
              </c:ext>
            </c:extLst>
          </c:dPt>
          <c:dPt>
            <c:idx val="9"/>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4-69F9-457F-A7B8-040021AAE54F}"/>
              </c:ext>
            </c:extLst>
          </c:dPt>
          <c:dPt>
            <c:idx val="10"/>
            <c:invertIfNegative val="1"/>
            <c:bubble3D val="0"/>
            <c:spPr>
              <a:solidFill>
                <a:srgbClr val="0070C0">
                  <a:alpha val="84706"/>
                </a:srgbClr>
              </a:solidFill>
              <a:ln w="9525" cap="flat" cmpd="sng" algn="ctr">
                <a:solidFill>
                  <a:schemeClr val="lt1">
                    <a:alpha val="50000"/>
                  </a:schemeClr>
                </a:solidFill>
                <a:round/>
              </a:ln>
              <a:effectLst/>
            </c:spPr>
            <c:extLst>
              <c:ext xmlns:c16="http://schemas.microsoft.com/office/drawing/2014/chart" uri="{C3380CC4-5D6E-409C-BE32-E72D297353CC}">
                <c16:uniqueId val="{00000005-69F9-457F-A7B8-040021AAE54F}"/>
              </c:ext>
            </c:extLst>
          </c:dPt>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11"/>
              <c:pt idx="0">
                <c:v>FY20</c:v>
              </c:pt>
              <c:pt idx="1">
                <c:v> FY21</c:v>
              </c:pt>
              <c:pt idx="2">
                <c:v> FY22</c:v>
              </c:pt>
              <c:pt idx="3">
                <c:v> FY23</c:v>
              </c:pt>
              <c:pt idx="4">
                <c:v> FY24</c:v>
              </c:pt>
              <c:pt idx="5">
                <c:v> FY25</c:v>
              </c:pt>
              <c:pt idx="6">
                <c:v> FY26</c:v>
              </c:pt>
              <c:pt idx="7">
                <c:v> FY27</c:v>
              </c:pt>
              <c:pt idx="8">
                <c:v> FY28</c:v>
              </c:pt>
              <c:pt idx="9">
                <c:v> FY29</c:v>
              </c:pt>
              <c:pt idx="10">
                <c:v> FY30</c:v>
              </c:pt>
            </c:strLit>
          </c:cat>
          <c:val>
            <c:numRef>
              <c:f>Calculations!$B$73:$L$73</c:f>
              <c:numCache>
                <c:formatCode>_("$"* #,##0.00_);_("$"* \(#,##0.00\);_("$"* "-"??_);_(@_)</c:formatCode>
                <c:ptCount val="11"/>
                <c:pt idx="0">
                  <c:v>-188934.715</c:v>
                </c:pt>
                <c:pt idx="1">
                  <c:v>-188583.11773249999</c:v>
                </c:pt>
                <c:pt idx="2">
                  <c:v>-152603.72891480039</c:v>
                </c:pt>
                <c:pt idx="3">
                  <c:v>-125342.80152397937</c:v>
                </c:pt>
                <c:pt idx="4">
                  <c:v>-129804.08393528152</c:v>
                </c:pt>
                <c:pt idx="5">
                  <c:v>-73867.628076043213</c:v>
                </c:pt>
                <c:pt idx="6">
                  <c:v>-60753.222557227389</c:v>
                </c:pt>
                <c:pt idx="7">
                  <c:v>-45359.736518446516</c:v>
                </c:pt>
                <c:pt idx="8">
                  <c:v>-21339.613274433068</c:v>
                </c:pt>
                <c:pt idx="9">
                  <c:v>2498.3918518095161</c:v>
                </c:pt>
                <c:pt idx="10">
                  <c:v>33859.969654407323</c:v>
                </c:pt>
              </c:numCache>
            </c:numRef>
          </c:val>
          <c:extLst>
            <c:ext xmlns:c14="http://schemas.microsoft.com/office/drawing/2007/8/2/chart" uri="{6F2FDCE9-48DA-4B69-8628-5D25D57E5C99}">
              <c14:invertSolidFillFmt>
                <c14:spPr xmlns:c14="http://schemas.microsoft.com/office/drawing/2007/8/2/chart">
                  <a:solidFill>
                    <a:srgbClr val="F2DCDB"/>
                  </a:solidFill>
                </c14:spPr>
              </c14:invertSolidFillFmt>
            </c:ext>
            <c:ext xmlns:c16="http://schemas.microsoft.com/office/drawing/2014/chart" uri="{C3380CC4-5D6E-409C-BE32-E72D297353CC}">
              <c16:uniqueId val="{00000000-E6B7-4430-99F6-478E93CD4721}"/>
            </c:ext>
          </c:extLst>
        </c:ser>
        <c:dLbls>
          <c:dLblPos val="inEnd"/>
          <c:showLegendKey val="0"/>
          <c:showVal val="1"/>
          <c:showCatName val="0"/>
          <c:showSerName val="0"/>
          <c:showPercent val="0"/>
          <c:showBubbleSize val="0"/>
        </c:dLbls>
        <c:gapWidth val="65"/>
        <c:axId val="351482400"/>
        <c:axId val="351485352"/>
      </c:barChart>
      <c:catAx>
        <c:axId val="351482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51485352"/>
        <c:crosses val="autoZero"/>
        <c:auto val="1"/>
        <c:lblAlgn val="ctr"/>
        <c:lblOffset val="100"/>
        <c:noMultiLvlLbl val="0"/>
      </c:catAx>
      <c:valAx>
        <c:axId val="351485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none"/>
        <c:minorTickMark val="none"/>
        <c:tickLblPos val="nextTo"/>
        <c:crossAx val="35148240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465042</xdr:colOff>
      <xdr:row>54</xdr:row>
      <xdr:rowOff>6722</xdr:rowOff>
    </xdr:from>
    <xdr:to>
      <xdr:col>15</xdr:col>
      <xdr:colOff>414618</xdr:colOff>
      <xdr:row>73</xdr:row>
      <xdr:rowOff>156882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47</xdr:row>
      <xdr:rowOff>190499</xdr:rowOff>
    </xdr:from>
    <xdr:to>
      <xdr:col>4</xdr:col>
      <xdr:colOff>1994647</xdr:colOff>
      <xdr:row>66</xdr:row>
      <xdr:rowOff>134470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2</xdr:row>
      <xdr:rowOff>0</xdr:rowOff>
    </xdr:from>
    <xdr:to>
      <xdr:col>20</xdr:col>
      <xdr:colOff>288983</xdr:colOff>
      <xdr:row>21</xdr:row>
      <xdr:rowOff>62469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419100</xdr:colOff>
      <xdr:row>38</xdr:row>
      <xdr:rowOff>76200</xdr:rowOff>
    </xdr:from>
    <xdr:to>
      <xdr:col>5</xdr:col>
      <xdr:colOff>857250</xdr:colOff>
      <xdr:row>52</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74</xdr:row>
      <xdr:rowOff>152400</xdr:rowOff>
    </xdr:from>
    <xdr:to>
      <xdr:col>4</xdr:col>
      <xdr:colOff>161925</xdr:colOff>
      <xdr:row>89</xdr:row>
      <xdr:rowOff>38100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290512</xdr:colOff>
      <xdr:row>90</xdr:row>
      <xdr:rowOff>152399</xdr:rowOff>
    </xdr:from>
    <xdr:to>
      <xdr:col>4</xdr:col>
      <xdr:colOff>857250</xdr:colOff>
      <xdr:row>110</xdr:row>
      <xdr:rowOff>47624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533400</xdr:colOff>
      <xdr:row>73</xdr:row>
      <xdr:rowOff>161924</xdr:rowOff>
    </xdr:from>
    <xdr:to>
      <xdr:col>13</xdr:col>
      <xdr:colOff>133350</xdr:colOff>
      <xdr:row>93</xdr:row>
      <xdr:rowOff>114300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pane xSplit="2" ySplit="2" topLeftCell="C27" activePane="bottomRight" state="frozen"/>
      <selection pane="topRight" activeCell="C1" sqref="C1"/>
      <selection pane="bottomLeft" activeCell="A3" sqref="A3"/>
      <selection pane="bottomRight" activeCell="C37" sqref="C37"/>
    </sheetView>
  </sheetViews>
  <sheetFormatPr defaultRowHeight="15" x14ac:dyDescent="0.25"/>
  <cols>
    <col min="1" max="1" width="1.140625" customWidth="1"/>
    <col min="2" max="2" width="39.7109375" customWidth="1"/>
    <col min="3" max="3" width="16" customWidth="1"/>
    <col min="4" max="5" width="15.7109375" customWidth="1"/>
    <col min="6" max="6" width="16.140625" customWidth="1"/>
    <col min="7" max="7" width="16.28515625" customWidth="1"/>
    <col min="8" max="9" width="14.42578125" customWidth="1"/>
    <col min="10" max="10" width="15.140625" customWidth="1"/>
    <col min="11" max="11" width="15.28515625" customWidth="1"/>
    <col min="12" max="12" width="14.85546875" customWidth="1"/>
    <col min="13" max="13" width="14.7109375" customWidth="1"/>
    <col min="14" max="14" width="11.5703125" bestFit="1" customWidth="1"/>
  </cols>
  <sheetData>
    <row r="1" spans="2:14" ht="34.5" customHeight="1" x14ac:dyDescent="0.45">
      <c r="B1" s="268" t="s">
        <v>419</v>
      </c>
      <c r="C1" s="268"/>
      <c r="D1" s="268"/>
      <c r="E1" s="268"/>
      <c r="F1" s="268"/>
      <c r="G1" s="268"/>
      <c r="H1" s="268"/>
      <c r="I1" s="268"/>
      <c r="J1" s="268"/>
      <c r="K1" s="268"/>
      <c r="L1" s="268"/>
      <c r="M1" s="268"/>
    </row>
    <row r="2" spans="2:14" ht="24.95" customHeight="1" x14ac:dyDescent="0.25">
      <c r="B2" s="113" t="s">
        <v>207</v>
      </c>
      <c r="C2" s="113" t="s">
        <v>209</v>
      </c>
      <c r="D2" s="113" t="s">
        <v>210</v>
      </c>
      <c r="E2" s="113" t="s">
        <v>208</v>
      </c>
      <c r="F2" s="113" t="s">
        <v>211</v>
      </c>
      <c r="G2" s="113" t="s">
        <v>212</v>
      </c>
      <c r="H2" s="113" t="s">
        <v>213</v>
      </c>
      <c r="I2" s="113" t="s">
        <v>214</v>
      </c>
      <c r="J2" s="113" t="s">
        <v>484</v>
      </c>
      <c r="K2" s="113" t="s">
        <v>216</v>
      </c>
      <c r="L2" s="113" t="s">
        <v>217</v>
      </c>
      <c r="M2" s="113" t="s">
        <v>218</v>
      </c>
    </row>
    <row r="3" spans="2:14" ht="24.95" customHeight="1" x14ac:dyDescent="0.25">
      <c r="B3" s="125" t="s">
        <v>447</v>
      </c>
      <c r="C3" s="204">
        <v>0</v>
      </c>
      <c r="D3" s="204">
        <v>5000</v>
      </c>
      <c r="E3" s="204">
        <v>5000</v>
      </c>
      <c r="F3" s="204">
        <v>10000</v>
      </c>
      <c r="G3" s="204">
        <v>10000</v>
      </c>
      <c r="H3" s="204">
        <v>10000</v>
      </c>
      <c r="I3" s="204">
        <v>10000</v>
      </c>
      <c r="J3" s="204">
        <v>10000</v>
      </c>
      <c r="K3" s="204">
        <v>10000</v>
      </c>
      <c r="L3" s="204">
        <v>10000</v>
      </c>
      <c r="M3" s="204">
        <v>10000</v>
      </c>
    </row>
    <row r="4" spans="2:14" ht="24.95" customHeight="1" x14ac:dyDescent="0.25">
      <c r="B4" s="123" t="s">
        <v>231</v>
      </c>
      <c r="C4" s="205">
        <f>'Assumptions &amp; Forecast'!P4</f>
        <v>6600</v>
      </c>
      <c r="D4" s="205">
        <f>'Assumptions &amp; Forecast'!P5</f>
        <v>8473</v>
      </c>
      <c r="E4" s="205">
        <f>'Assumptions &amp; Forecast'!P6</f>
        <v>9858.4499999999989</v>
      </c>
      <c r="F4" s="205">
        <f>'Assumptions &amp; Forecast'!P7</f>
        <v>13128.57</v>
      </c>
      <c r="G4" s="205">
        <f>'Assumptions &amp; Forecast'!P8</f>
        <v>17761.440374999998</v>
      </c>
      <c r="H4" s="205">
        <f>'Assumptions &amp; Forecast'!P9</f>
        <v>24216.531018749996</v>
      </c>
      <c r="I4" s="205">
        <f>'Assumptions &amp; Forecast'!P10</f>
        <v>31857.264081562495</v>
      </c>
      <c r="J4" s="205">
        <f>'Assumptions &amp; Forecast'!P11</f>
        <v>41735.938631624987</v>
      </c>
      <c r="K4" s="205">
        <f>'Assumptions &amp; Forecast'!P12</f>
        <v>53811.74146364296</v>
      </c>
      <c r="L4" s="205">
        <f>'Assumptions &amp; Forecast'!P13</f>
        <v>68344.13391879444</v>
      </c>
      <c r="M4" s="205">
        <f>'Assumptions &amp; Forecast'!P14</f>
        <v>85971.507073097368</v>
      </c>
    </row>
    <row r="5" spans="2:14" ht="24.95" customHeight="1" x14ac:dyDescent="0.25">
      <c r="B5" s="125" t="s">
        <v>232</v>
      </c>
      <c r="C5" s="206">
        <f>'Assumptions &amp; Forecast'!T4</f>
        <v>500</v>
      </c>
      <c r="D5" s="206">
        <f>'Assumptions &amp; Forecast'!T5</f>
        <v>600</v>
      </c>
      <c r="E5" s="206">
        <f>'Assumptions &amp; Forecast'!T6</f>
        <v>800</v>
      </c>
      <c r="F5" s="206">
        <f>'Assumptions &amp; Forecast'!T7</f>
        <v>1000</v>
      </c>
      <c r="G5" s="206">
        <f>'Assumptions &amp; Forecast'!T8</f>
        <v>1300</v>
      </c>
      <c r="H5" s="206">
        <f>'Assumptions &amp; Forecast'!T9</f>
        <v>1600</v>
      </c>
      <c r="I5" s="206">
        <f>'Assumptions &amp; Forecast'!T10</f>
        <v>3000</v>
      </c>
      <c r="J5" s="206">
        <f>'Assumptions &amp; Forecast'!T11</f>
        <v>3600</v>
      </c>
      <c r="K5" s="206">
        <f>'Assumptions &amp; Forecast'!T12</f>
        <v>4200</v>
      </c>
      <c r="L5" s="206">
        <f>'Assumptions &amp; Forecast'!T13</f>
        <v>5100</v>
      </c>
      <c r="M5" s="206">
        <f>'Assumptions &amp; Forecast'!T14</f>
        <v>6300</v>
      </c>
    </row>
    <row r="6" spans="2:14" ht="24.95" customHeight="1" x14ac:dyDescent="0.25">
      <c r="B6" s="123" t="s">
        <v>405</v>
      </c>
      <c r="C6" s="205">
        <f>'Assumptions &amp; Forecast'!U4</f>
        <v>0</v>
      </c>
      <c r="D6" s="205">
        <f>'Assumptions &amp; Forecast'!U5</f>
        <v>0</v>
      </c>
      <c r="E6" s="205">
        <f>'Assumptions &amp; Forecast'!U6</f>
        <v>3200</v>
      </c>
      <c r="F6" s="205">
        <f>'Assumptions &amp; Forecast'!U7</f>
        <v>7200</v>
      </c>
      <c r="G6" s="205">
        <f>'Assumptions &amp; Forecast'!U8</f>
        <v>9000</v>
      </c>
      <c r="H6" s="205">
        <f>'Assumptions &amp; Forecast'!U9</f>
        <v>11200</v>
      </c>
      <c r="I6" s="205">
        <f>'Assumptions &amp; Forecast'!U10</f>
        <v>13700</v>
      </c>
      <c r="J6" s="205">
        <f>'Assumptions &amp; Forecast'!U11</f>
        <v>16500</v>
      </c>
      <c r="K6" s="205">
        <f>'Assumptions &amp; Forecast'!U12</f>
        <v>19800</v>
      </c>
      <c r="L6" s="205">
        <f>'Assumptions &amp; Forecast'!U13</f>
        <v>23600</v>
      </c>
      <c r="M6" s="205">
        <f>'Assumptions &amp; Forecast'!U14</f>
        <v>29100</v>
      </c>
    </row>
    <row r="7" spans="2:14" ht="24.95" customHeight="1" x14ac:dyDescent="0.25">
      <c r="B7" s="125" t="s">
        <v>406</v>
      </c>
      <c r="C7" s="206">
        <f>'Assumptions &amp; Forecast'!V4</f>
        <v>0</v>
      </c>
      <c r="D7" s="206">
        <f>'Assumptions &amp; Forecast'!V5</f>
        <v>0</v>
      </c>
      <c r="E7" s="206">
        <f>'Assumptions &amp; Forecast'!V6</f>
        <v>2400</v>
      </c>
      <c r="F7" s="206">
        <f>'Assumptions &amp; Forecast'!V7</f>
        <v>3100</v>
      </c>
      <c r="G7" s="206">
        <f>'Assumptions &amp; Forecast'!V8</f>
        <v>3393</v>
      </c>
      <c r="H7" s="206">
        <f>'Assumptions &amp; Forecast'!V9</f>
        <v>3552</v>
      </c>
      <c r="I7" s="206">
        <f>'Assumptions &amp; Forecast'!V10</f>
        <v>3540</v>
      </c>
      <c r="J7" s="206">
        <f>'Assumptions &amp; Forecast'!V11</f>
        <v>3266</v>
      </c>
      <c r="K7" s="206">
        <f>'Assumptions &amp; Forecast'!V12</f>
        <v>2550</v>
      </c>
      <c r="L7" s="206">
        <f>'Assumptions &amp; Forecast'!V13</f>
        <v>1515</v>
      </c>
      <c r="M7" s="206">
        <f>'Assumptions &amp; Forecast'!V14</f>
        <v>0</v>
      </c>
    </row>
    <row r="8" spans="2:14" ht="24.95" customHeight="1" x14ac:dyDescent="0.25">
      <c r="B8" s="123" t="s">
        <v>400</v>
      </c>
      <c r="C8" s="205">
        <f>'Assumptions &amp; Forecast'!Q4</f>
        <v>1100</v>
      </c>
      <c r="D8" s="205">
        <f>'Assumptions &amp; Forecast'!Q5</f>
        <v>652.65</v>
      </c>
      <c r="E8" s="205">
        <f>'Assumptions &amp; Forecast'!Q6</f>
        <v>1118.0924999999997</v>
      </c>
      <c r="F8" s="205">
        <f>'Assumptions &amp; Forecast'!Q7</f>
        <v>1514.835</v>
      </c>
      <c r="G8" s="205">
        <f>'Assumptions &amp; Forecast'!Q8</f>
        <v>1948.4565187499998</v>
      </c>
      <c r="H8" s="205">
        <f>'Assumptions &amp; Forecast'!Q9</f>
        <v>2379.9004621874997</v>
      </c>
      <c r="I8" s="205">
        <f>'Assumptions &amp; Forecast'!Q10</f>
        <v>2893.4579303437495</v>
      </c>
      <c r="J8" s="205">
        <f>'Assumptions &amp; Forecast'!Q11</f>
        <v>3544.4859646710925</v>
      </c>
      <c r="K8" s="205">
        <f>'Assumptions &amp; Forecast'!Q12</f>
        <v>4253.3831576053117</v>
      </c>
      <c r="L8" s="205">
        <f>'Assumptions &amp; Forecast'!Q13</f>
        <v>5125.8100439095824</v>
      </c>
      <c r="M8" s="205">
        <f>'Assumptions &amp; Forecast'!Q14</f>
        <v>7034.0323968897846</v>
      </c>
    </row>
    <row r="9" spans="2:14" ht="24.95" customHeight="1" x14ac:dyDescent="0.25">
      <c r="B9" s="125" t="s">
        <v>404</v>
      </c>
      <c r="C9" s="206" t="s">
        <v>248</v>
      </c>
      <c r="D9" s="206">
        <f>'Assumptions &amp; Forecast'!R5</f>
        <v>0</v>
      </c>
      <c r="E9" s="206">
        <f>'Assumptions &amp; Forecast'!R6</f>
        <v>620</v>
      </c>
      <c r="F9" s="206">
        <f>'Assumptions &amp; Forecast'!R7</f>
        <v>1400</v>
      </c>
      <c r="G9" s="206">
        <f>'Assumptions &amp; Forecast'!R8</f>
        <v>1714.9999999999998</v>
      </c>
      <c r="H9" s="206">
        <f>'Assumptions &amp; Forecast'!R9</f>
        <v>1995</v>
      </c>
      <c r="I9" s="206">
        <f>'Assumptions &amp; Forecast'!R10</f>
        <v>2310</v>
      </c>
      <c r="J9" s="206">
        <f>'Assumptions &amp; Forecast'!R11</f>
        <v>2695</v>
      </c>
      <c r="K9" s="206">
        <f>'Assumptions &amp; Forecast'!R12</f>
        <v>3079.9999999999995</v>
      </c>
      <c r="L9" s="206">
        <f>'Assumptions &amp; Forecast'!R13</f>
        <v>3534.9999999999995</v>
      </c>
      <c r="M9" s="206">
        <f>'Assumptions &amp; Forecast'!R14</f>
        <v>4620</v>
      </c>
    </row>
    <row r="10" spans="2:14" ht="24.95" customHeight="1" x14ac:dyDescent="0.25">
      <c r="B10" s="123" t="s">
        <v>407</v>
      </c>
      <c r="C10" s="205" t="s">
        <v>248</v>
      </c>
      <c r="D10" s="205">
        <f>'Assumptions &amp; Forecast'!S5</f>
        <v>0</v>
      </c>
      <c r="E10" s="205">
        <f>'Assumptions &amp; Forecast'!S6</f>
        <v>464.99999999999994</v>
      </c>
      <c r="F10" s="205">
        <f>'Assumptions &amp; Forecast'!S7</f>
        <v>600</v>
      </c>
      <c r="G10" s="205">
        <f>'Assumptions &amp; Forecast'!S8</f>
        <v>639.44999999999993</v>
      </c>
      <c r="H10" s="205">
        <f>'Assumptions &amp; Forecast'!S9</f>
        <v>632.69999999999993</v>
      </c>
      <c r="I10" s="205">
        <f>'Assumptions &amp; Forecast'!S10</f>
        <v>594</v>
      </c>
      <c r="J10" s="205">
        <f>'Assumptions &amp; Forecast'!S11</f>
        <v>531.29999999999995</v>
      </c>
      <c r="K10" s="205">
        <f>'Assumptions &amp; Forecast'!S12</f>
        <v>396</v>
      </c>
      <c r="L10" s="205">
        <f>'Assumptions &amp; Forecast'!S13</f>
        <v>227.24999999999997</v>
      </c>
      <c r="M10" s="205">
        <f>'Assumptions &amp; Forecast'!S14</f>
        <v>0</v>
      </c>
    </row>
    <row r="11" spans="2:14" ht="24.95" customHeight="1" x14ac:dyDescent="0.25">
      <c r="B11" s="254" t="s">
        <v>476</v>
      </c>
      <c r="C11" s="255">
        <f>'Assumptions &amp; Forecast'!W4</f>
        <v>250.78500000000003</v>
      </c>
      <c r="D11" s="255">
        <f>'Assumptions &amp; Forecast'!W5</f>
        <v>340.71825000000001</v>
      </c>
      <c r="E11" s="255">
        <f>'Assumptions &amp; Forecast'!W6</f>
        <v>407.56274999999994</v>
      </c>
      <c r="F11" s="255">
        <f>'Assumptions &amp; Forecast'!W7</f>
        <v>545.34059999999999</v>
      </c>
      <c r="G11" s="255">
        <f>'Assumptions &amp; Forecast'!W8</f>
        <v>727.6888631249999</v>
      </c>
      <c r="H11" s="255">
        <f>'Assumptions &amp; Forecast'!W9</f>
        <v>964.48597678124997</v>
      </c>
      <c r="I11" s="255">
        <f>'Assumptions &amp; Forecast'!W10</f>
        <v>1245.0637154812498</v>
      </c>
      <c r="J11" s="255">
        <f>'Assumptions &amp; Forecast'!W11</f>
        <v>1606.526755415859</v>
      </c>
      <c r="K11" s="255">
        <f>'Assumptions &amp; Forecast'!W12</f>
        <v>2039.69055966982</v>
      </c>
      <c r="L11" s="255">
        <f>'Assumptions &amp; Forecast'!W13</f>
        <v>2562.9050219547917</v>
      </c>
      <c r="M11" s="255">
        <f>'Assumptions &amp; Forecast'!W14</f>
        <v>3282.5484518818994</v>
      </c>
    </row>
    <row r="12" spans="2:14" ht="24.95" customHeight="1" x14ac:dyDescent="0.25">
      <c r="B12" s="125" t="s">
        <v>280</v>
      </c>
      <c r="C12" s="206">
        <f>Financial!M13</f>
        <v>9196</v>
      </c>
      <c r="D12" s="206">
        <f>Financial!N13</f>
        <v>6000</v>
      </c>
      <c r="E12" s="206">
        <f>Financial!O13</f>
        <v>6000</v>
      </c>
      <c r="F12" s="206">
        <f>Financial!P13</f>
        <v>6000</v>
      </c>
      <c r="G12" s="206">
        <f>Financial!Q13</f>
        <v>6000</v>
      </c>
      <c r="H12" s="206">
        <f>Financial!R13</f>
        <v>12000</v>
      </c>
      <c r="I12" s="206">
        <f>Financial!S13</f>
        <v>12000</v>
      </c>
      <c r="J12" s="206">
        <f>Financial!T13</f>
        <v>12000</v>
      </c>
      <c r="K12" s="206">
        <f>Financial!U13</f>
        <v>12000</v>
      </c>
      <c r="L12" s="206">
        <f>Financial!V13</f>
        <v>12000</v>
      </c>
      <c r="M12" s="206">
        <f>Financial!W13</f>
        <v>12000</v>
      </c>
    </row>
    <row r="13" spans="2:14" ht="24.95" customHeight="1" x14ac:dyDescent="0.25">
      <c r="B13" s="123" t="s">
        <v>239</v>
      </c>
      <c r="C13" s="205">
        <f>'Assumptions &amp; Forecast'!U18</f>
        <v>4725</v>
      </c>
      <c r="D13" s="205">
        <f>'Assumptions &amp; Forecast'!U19</f>
        <v>10710</v>
      </c>
      <c r="E13" s="205">
        <f>'Assumptions &amp; Forecast'!U20</f>
        <v>29445.733500000002</v>
      </c>
      <c r="F13" s="205">
        <f>'Assumptions &amp; Forecast'!U21</f>
        <v>37439.719525</v>
      </c>
      <c r="G13" s="205">
        <f>'Assumptions &amp; Forecast'!U22</f>
        <v>29285</v>
      </c>
      <c r="H13" s="205">
        <f>'Assumptions &amp; Forecast'!U23</f>
        <v>34015</v>
      </c>
      <c r="I13" s="205">
        <f>'Assumptions &amp; Forecast'!U24</f>
        <v>39560</v>
      </c>
      <c r="J13" s="205">
        <f>'Assumptions &amp; Forecast'!U25</f>
        <v>45470</v>
      </c>
      <c r="K13" s="205">
        <f>'Assumptions &amp; Forecast'!U26</f>
        <v>58960</v>
      </c>
      <c r="L13" s="205">
        <f>'Assumptions &amp; Forecast'!U27</f>
        <v>67845</v>
      </c>
      <c r="M13" s="205">
        <f>'Assumptions &amp; Forecast'!U28</f>
        <v>77960</v>
      </c>
      <c r="N13" s="161"/>
    </row>
    <row r="14" spans="2:14" ht="24.95" customHeight="1" x14ac:dyDescent="0.25">
      <c r="B14" s="254" t="s">
        <v>477</v>
      </c>
      <c r="C14" s="255">
        <f>'Assumptions &amp; Forecast'!R18</f>
        <v>225</v>
      </c>
      <c r="D14" s="255">
        <f>'Assumptions &amp; Forecast'!R19</f>
        <v>510.00000000000006</v>
      </c>
      <c r="E14" s="255">
        <f>'Assumptions &amp; Forecast'!R20</f>
        <v>705</v>
      </c>
      <c r="F14" s="255">
        <f>'Assumptions &amp; Forecast'!R21</f>
        <v>885</v>
      </c>
      <c r="G14" s="255">
        <f>'Assumptions &amp; Forecast'!R22</f>
        <v>1035</v>
      </c>
      <c r="H14" s="255">
        <f>'Assumptions &amp; Forecast'!R23</f>
        <v>1215</v>
      </c>
      <c r="I14" s="255">
        <f>'Assumptions &amp; Forecast'!R24</f>
        <v>1410</v>
      </c>
      <c r="J14" s="255">
        <f>'Assumptions &amp; Forecast'!R25</f>
        <v>1620</v>
      </c>
      <c r="K14" s="255">
        <f>'Assumptions &amp; Forecast'!R26</f>
        <v>1860</v>
      </c>
      <c r="L14" s="255">
        <f>'Assumptions &amp; Forecast'!R27</f>
        <v>2145</v>
      </c>
      <c r="M14" s="255">
        <f>'Assumptions &amp; Forecast'!R28</f>
        <v>2460.0000000000005</v>
      </c>
      <c r="N14" s="161"/>
    </row>
    <row r="15" spans="2:14" ht="24.95" customHeight="1" x14ac:dyDescent="0.25">
      <c r="B15" s="125" t="s">
        <v>238</v>
      </c>
      <c r="C15" s="206">
        <f>Financial!M14</f>
        <v>300</v>
      </c>
      <c r="D15" s="206">
        <f>Financial!N14</f>
        <v>600</v>
      </c>
      <c r="E15" s="206">
        <f>Financial!O14</f>
        <v>1500</v>
      </c>
      <c r="F15" s="206">
        <f>Financial!P14</f>
        <v>1800</v>
      </c>
      <c r="G15" s="206">
        <f>Financial!Q14</f>
        <v>1950</v>
      </c>
      <c r="H15" s="206">
        <f>Financial!R14</f>
        <v>1350</v>
      </c>
      <c r="I15" s="206">
        <f>Financial!S14</f>
        <v>900</v>
      </c>
      <c r="J15" s="206">
        <f>Financial!T14</f>
        <v>750</v>
      </c>
      <c r="K15" s="206">
        <f>Financial!U14</f>
        <v>750</v>
      </c>
      <c r="L15" s="206">
        <f>Financial!V14</f>
        <v>750</v>
      </c>
      <c r="M15" s="206">
        <f>Financial!W14</f>
        <v>750</v>
      </c>
      <c r="N15" s="161"/>
    </row>
    <row r="16" spans="2:14" ht="24.95" customHeight="1" x14ac:dyDescent="0.25">
      <c r="B16" s="123" t="s">
        <v>281</v>
      </c>
      <c r="C16" s="205">
        <v>2500</v>
      </c>
      <c r="D16" s="205">
        <v>2500</v>
      </c>
      <c r="E16" s="205">
        <v>2500</v>
      </c>
      <c r="F16" s="205">
        <v>0</v>
      </c>
      <c r="G16" s="205">
        <v>0</v>
      </c>
      <c r="H16" s="205">
        <v>0</v>
      </c>
      <c r="I16" s="205">
        <v>0</v>
      </c>
      <c r="J16" s="205">
        <v>0</v>
      </c>
      <c r="K16" s="205">
        <v>0</v>
      </c>
      <c r="L16" s="205">
        <v>0</v>
      </c>
      <c r="M16" s="205">
        <v>0</v>
      </c>
      <c r="N16" s="161"/>
    </row>
    <row r="17" spans="1:13" ht="24.95" customHeight="1" x14ac:dyDescent="0.25">
      <c r="B17" s="113" t="s">
        <v>240</v>
      </c>
      <c r="C17" s="207">
        <f t="shared" ref="C17:M17" si="0">SUM(C3:C16)</f>
        <v>25396.785</v>
      </c>
      <c r="D17" s="207">
        <f t="shared" si="0"/>
        <v>35386.36825</v>
      </c>
      <c r="E17" s="207">
        <f t="shared" si="0"/>
        <v>64019.838749999995</v>
      </c>
      <c r="F17" s="207">
        <f t="shared" si="0"/>
        <v>84613.465125000002</v>
      </c>
      <c r="G17" s="207">
        <f t="shared" si="0"/>
        <v>84755.03575687499</v>
      </c>
      <c r="H17" s="207">
        <f t="shared" si="0"/>
        <v>105120.61745771875</v>
      </c>
      <c r="I17" s="207">
        <f t="shared" si="0"/>
        <v>123009.78572738748</v>
      </c>
      <c r="J17" s="207">
        <f t="shared" si="0"/>
        <v>143319.25135171195</v>
      </c>
      <c r="K17" s="207">
        <f t="shared" si="0"/>
        <v>173700.81518091809</v>
      </c>
      <c r="L17" s="207">
        <f t="shared" si="0"/>
        <v>202750.09898465883</v>
      </c>
      <c r="M17" s="207">
        <f t="shared" si="0"/>
        <v>239478.08792186907</v>
      </c>
    </row>
    <row r="18" spans="1:13" ht="5.25" customHeight="1" x14ac:dyDescent="0.25">
      <c r="B18" s="127"/>
      <c r="C18" s="208"/>
      <c r="D18" s="208"/>
      <c r="E18" s="208"/>
      <c r="F18" s="208"/>
      <c r="G18" s="208"/>
      <c r="H18" s="208"/>
      <c r="I18" s="209"/>
      <c r="J18" s="209"/>
      <c r="K18" s="209"/>
      <c r="L18" s="209"/>
      <c r="M18" s="209"/>
    </row>
    <row r="19" spans="1:13" ht="24.95" customHeight="1" x14ac:dyDescent="0.25">
      <c r="B19" s="128" t="s">
        <v>244</v>
      </c>
      <c r="C19" s="210" t="s">
        <v>209</v>
      </c>
      <c r="D19" s="210" t="s">
        <v>210</v>
      </c>
      <c r="E19" s="210" t="s">
        <v>208</v>
      </c>
      <c r="F19" s="210" t="s">
        <v>211</v>
      </c>
      <c r="G19" s="210" t="s">
        <v>212</v>
      </c>
      <c r="H19" s="210" t="s">
        <v>213</v>
      </c>
      <c r="I19" s="210" t="s">
        <v>214</v>
      </c>
      <c r="J19" s="210" t="s">
        <v>215</v>
      </c>
      <c r="K19" s="210" t="s">
        <v>216</v>
      </c>
      <c r="L19" s="210" t="s">
        <v>217</v>
      </c>
      <c r="M19" s="210" t="s">
        <v>218</v>
      </c>
    </row>
    <row r="20" spans="1:13" ht="24.95" customHeight="1" x14ac:dyDescent="0.25">
      <c r="B20" s="166" t="s">
        <v>241</v>
      </c>
      <c r="C20" s="201">
        <f>Financial!M17</f>
        <v>14000</v>
      </c>
      <c r="D20" s="201">
        <f>Financial!N17</f>
        <v>14000</v>
      </c>
      <c r="E20" s="201">
        <f>Financial!O17</f>
        <v>14000</v>
      </c>
      <c r="F20" s="201">
        <f>Financial!P17</f>
        <v>7000</v>
      </c>
      <c r="G20" s="201">
        <f>Financial!Q17</f>
        <v>7000</v>
      </c>
      <c r="H20" s="201">
        <f>Financial!R17</f>
        <v>4600</v>
      </c>
      <c r="I20" s="201">
        <f>Financial!S17</f>
        <v>4600</v>
      </c>
      <c r="J20" s="201">
        <f>Financial!T17</f>
        <v>4600</v>
      </c>
      <c r="K20" s="201">
        <f>Financial!U17</f>
        <v>4600</v>
      </c>
      <c r="L20" s="201">
        <f>Financial!V17</f>
        <v>4600</v>
      </c>
      <c r="M20" s="201">
        <f>Financial!W17</f>
        <v>4600</v>
      </c>
    </row>
    <row r="21" spans="1:13" ht="24.95" customHeight="1" x14ac:dyDescent="0.25">
      <c r="B21" s="167" t="s">
        <v>352</v>
      </c>
      <c r="C21" s="202">
        <f>Financial!M18</f>
        <v>4000</v>
      </c>
      <c r="D21" s="202">
        <f>Financial!N18</f>
        <v>4000</v>
      </c>
      <c r="E21" s="202">
        <f>Financial!O18</f>
        <v>4000</v>
      </c>
      <c r="F21" s="202">
        <f>Financial!P18</f>
        <v>4000</v>
      </c>
      <c r="G21" s="202">
        <f>Financial!Q18</f>
        <v>3000</v>
      </c>
      <c r="H21" s="202">
        <f>Financial!R18</f>
        <v>3000</v>
      </c>
      <c r="I21" s="202">
        <f>Financial!S18</f>
        <v>3000</v>
      </c>
      <c r="J21" s="202">
        <f>Financial!T18</f>
        <v>3000</v>
      </c>
      <c r="K21" s="202">
        <f>Financial!U18</f>
        <v>2000</v>
      </c>
      <c r="L21" s="202">
        <f>Financial!V18</f>
        <v>2000</v>
      </c>
      <c r="M21" s="202">
        <f>Financial!W18</f>
        <v>2000</v>
      </c>
    </row>
    <row r="22" spans="1:13" ht="24.95" customHeight="1" x14ac:dyDescent="0.25">
      <c r="B22" s="166" t="s">
        <v>242</v>
      </c>
      <c r="C22" s="201">
        <f>Financial!M19</f>
        <v>10750</v>
      </c>
      <c r="D22" s="201">
        <f>Financial!N19</f>
        <v>16000</v>
      </c>
      <c r="E22" s="201">
        <f>Financial!O19</f>
        <v>16000</v>
      </c>
      <c r="F22" s="201">
        <f>Financial!P19</f>
        <v>11000</v>
      </c>
      <c r="G22" s="201">
        <f>Financial!Q19</f>
        <v>11110</v>
      </c>
      <c r="H22" s="201">
        <f>Financial!R19</f>
        <v>11221.1</v>
      </c>
      <c r="I22" s="201">
        <f>Financial!S19</f>
        <v>11333.311</v>
      </c>
      <c r="J22" s="201">
        <f>Financial!T19</f>
        <v>11446.644109999999</v>
      </c>
      <c r="K22" s="201">
        <f>Financial!U19</f>
        <v>11561.110551099999</v>
      </c>
      <c r="L22" s="201">
        <f>Financial!V19</f>
        <v>11676.721656610998</v>
      </c>
      <c r="M22" s="201">
        <f>Financial!W19</f>
        <v>11793.488873177108</v>
      </c>
    </row>
    <row r="23" spans="1:13" ht="24.95" customHeight="1" x14ac:dyDescent="0.25">
      <c r="B23" s="167" t="s">
        <v>351</v>
      </c>
      <c r="C23" s="202">
        <f>Financial!M20</f>
        <v>2900</v>
      </c>
      <c r="D23" s="202">
        <f>Financial!N20</f>
        <v>2900</v>
      </c>
      <c r="E23" s="202">
        <f>Financial!O20</f>
        <v>2900</v>
      </c>
      <c r="F23" s="202">
        <f>Financial!P20</f>
        <v>2900</v>
      </c>
      <c r="G23" s="202">
        <f>Financial!Q20</f>
        <v>2900</v>
      </c>
      <c r="H23" s="202">
        <f>Financial!R20</f>
        <v>2900</v>
      </c>
      <c r="I23" s="202">
        <f>Financial!S20</f>
        <v>2900</v>
      </c>
      <c r="J23" s="202">
        <f>Financial!T20</f>
        <v>2900</v>
      </c>
      <c r="K23" s="202">
        <f>Financial!U20</f>
        <v>5300</v>
      </c>
      <c r="L23" s="202">
        <f>Financial!V20</f>
        <v>5300</v>
      </c>
      <c r="M23" s="202">
        <f>Financial!W20</f>
        <v>5300</v>
      </c>
    </row>
    <row r="24" spans="1:13" ht="24.95" customHeight="1" x14ac:dyDescent="0.25">
      <c r="B24" s="166" t="s">
        <v>284</v>
      </c>
      <c r="C24" s="201">
        <f>Financial!M21</f>
        <v>600</v>
      </c>
      <c r="D24" s="201">
        <f>Financial!N21</f>
        <v>600</v>
      </c>
      <c r="E24" s="201">
        <f>Financial!O21</f>
        <v>500</v>
      </c>
      <c r="F24" s="201">
        <f>Financial!P21</f>
        <v>500</v>
      </c>
      <c r="G24" s="201">
        <f>Financial!Q21</f>
        <v>500</v>
      </c>
      <c r="H24" s="201">
        <f>Financial!R21</f>
        <v>400</v>
      </c>
      <c r="I24" s="201">
        <f>Financial!S21</f>
        <v>400</v>
      </c>
      <c r="J24" s="201">
        <f>Financial!T21</f>
        <v>400</v>
      </c>
      <c r="K24" s="201">
        <f>Financial!U21</f>
        <v>300</v>
      </c>
      <c r="L24" s="201">
        <f>Financial!V21</f>
        <v>300</v>
      </c>
      <c r="M24" s="201">
        <f>Financial!W21</f>
        <v>300</v>
      </c>
    </row>
    <row r="25" spans="1:13" ht="24.95" customHeight="1" x14ac:dyDescent="0.25">
      <c r="B25" s="167" t="s">
        <v>243</v>
      </c>
      <c r="C25" s="202">
        <f>Financial!M22</f>
        <v>2500</v>
      </c>
      <c r="D25" s="202">
        <f>Financial!N22</f>
        <v>1500</v>
      </c>
      <c r="E25" s="202">
        <f>Financial!O22</f>
        <v>1500</v>
      </c>
      <c r="F25" s="202">
        <f>Financial!P22</f>
        <v>1500</v>
      </c>
      <c r="G25" s="202">
        <f>Financial!Q22</f>
        <v>1500</v>
      </c>
      <c r="H25" s="202">
        <f>Financial!R22</f>
        <v>1500</v>
      </c>
      <c r="I25" s="202">
        <f>Financial!S22</f>
        <v>1500</v>
      </c>
      <c r="J25" s="202">
        <f>Financial!T22</f>
        <v>1500</v>
      </c>
      <c r="K25" s="202">
        <f>Financial!U22</f>
        <v>1500</v>
      </c>
      <c r="L25" s="202">
        <f>Financial!V22</f>
        <v>1500</v>
      </c>
      <c r="M25" s="202">
        <f>Financial!W22</f>
        <v>1500</v>
      </c>
    </row>
    <row r="26" spans="1:13" ht="24.95" customHeight="1" x14ac:dyDescent="0.25">
      <c r="B26" s="166" t="s">
        <v>283</v>
      </c>
      <c r="C26" s="201" t="str">
        <f>Financial!M23</f>
        <v>-</v>
      </c>
      <c r="D26" s="201" t="str">
        <f>Financial!N23</f>
        <v>-</v>
      </c>
      <c r="E26" s="201" t="str">
        <f>Financial!O23</f>
        <v>-</v>
      </c>
      <c r="F26" s="201" t="str">
        <f>Financial!P23</f>
        <v>-</v>
      </c>
      <c r="G26" s="201" t="str">
        <f>Financial!Q23</f>
        <v>-</v>
      </c>
      <c r="H26" s="201" t="str">
        <f>Financial!R23</f>
        <v>-</v>
      </c>
      <c r="I26" s="201" t="str">
        <f>Financial!S23</f>
        <v>-</v>
      </c>
      <c r="J26" s="201" t="str">
        <f>Financial!T23</f>
        <v>-</v>
      </c>
      <c r="K26" s="201" t="str">
        <f>Financial!U23</f>
        <v>-</v>
      </c>
      <c r="L26" s="201" t="str">
        <f>Financial!V23</f>
        <v>-</v>
      </c>
      <c r="M26" s="201" t="str">
        <f>Financial!W23</f>
        <v>-</v>
      </c>
    </row>
    <row r="27" spans="1:13" ht="24.95" customHeight="1" x14ac:dyDescent="0.25">
      <c r="B27" s="167" t="s">
        <v>282</v>
      </c>
      <c r="C27" s="202">
        <f>Financial!M24</f>
        <v>2.5</v>
      </c>
      <c r="D27" s="202">
        <f>Financial!N24</f>
        <v>3.1159825000000003</v>
      </c>
      <c r="E27" s="202">
        <f>Financial!O24</f>
        <v>4.0143998750000005</v>
      </c>
      <c r="F27" s="202">
        <f>Financial!P24</f>
        <v>5.1267861062500009</v>
      </c>
      <c r="G27" s="202">
        <f>Financial!Q24</f>
        <v>6.4456333971874997</v>
      </c>
      <c r="H27" s="202">
        <f>Financial!R24</f>
        <v>7.9821093442656252</v>
      </c>
      <c r="I27" s="202">
        <f>Financial!S24</f>
        <v>9.7589574646554684</v>
      </c>
      <c r="J27" s="202">
        <f>Financial!T24</f>
        <v>11.807283193728788</v>
      </c>
      <c r="K27" s="202">
        <f>Financial!U24</f>
        <v>14.165332977475607</v>
      </c>
      <c r="L27" s="202">
        <f>Financial!V24</f>
        <v>16.8783278264407</v>
      </c>
      <c r="M27" s="202">
        <f>Financial!W24</f>
        <v>20.779031420363175</v>
      </c>
    </row>
    <row r="28" spans="1:13" ht="24.95" customHeight="1" x14ac:dyDescent="0.25">
      <c r="B28" s="128" t="s">
        <v>245</v>
      </c>
      <c r="C28" s="211">
        <f t="shared" ref="C28:M28" si="1">SUM(C20:C27)</f>
        <v>34752.5</v>
      </c>
      <c r="D28" s="211">
        <f t="shared" si="1"/>
        <v>39003.1159825</v>
      </c>
      <c r="E28" s="211">
        <f t="shared" si="1"/>
        <v>38904.014399874999</v>
      </c>
      <c r="F28" s="211">
        <f t="shared" si="1"/>
        <v>26905.126786106252</v>
      </c>
      <c r="G28" s="211">
        <f t="shared" si="1"/>
        <v>26016.445633397187</v>
      </c>
      <c r="H28" s="211">
        <f t="shared" si="1"/>
        <v>23629.082109344265</v>
      </c>
      <c r="I28" s="211">
        <f t="shared" si="1"/>
        <v>23743.069957464657</v>
      </c>
      <c r="J28" s="211">
        <f t="shared" si="1"/>
        <v>23858.451393193729</v>
      </c>
      <c r="K28" s="211">
        <f t="shared" si="1"/>
        <v>25275.275884077473</v>
      </c>
      <c r="L28" s="211">
        <f t="shared" si="1"/>
        <v>25393.599984437442</v>
      </c>
      <c r="M28" s="211">
        <f t="shared" si="1"/>
        <v>25514.267904597469</v>
      </c>
    </row>
    <row r="29" spans="1:13" ht="5.25" customHeight="1" x14ac:dyDescent="0.25">
      <c r="B29" s="129"/>
      <c r="C29" s="212"/>
      <c r="D29" s="212"/>
      <c r="E29" s="212"/>
      <c r="F29" s="212"/>
      <c r="G29" s="212"/>
      <c r="H29" s="212"/>
      <c r="I29" s="212"/>
      <c r="J29" s="212"/>
      <c r="K29" s="212"/>
      <c r="L29" s="212"/>
      <c r="M29" s="212"/>
    </row>
    <row r="30" spans="1:13" ht="28.5" customHeight="1" x14ac:dyDescent="0.25">
      <c r="A30" s="2"/>
      <c r="B30" s="180" t="s">
        <v>413</v>
      </c>
      <c r="C30" s="213">
        <f>+C17-C28</f>
        <v>-9355.7150000000001</v>
      </c>
      <c r="D30" s="213">
        <f t="shared" ref="D30:M30" si="2">+D17-D28</f>
        <v>-3616.7477325</v>
      </c>
      <c r="E30" s="213">
        <f t="shared" si="2"/>
        <v>25115.824350124996</v>
      </c>
      <c r="F30" s="213">
        <f t="shared" si="2"/>
        <v>57708.338338893751</v>
      </c>
      <c r="G30" s="213">
        <f t="shared" si="2"/>
        <v>58738.590123477799</v>
      </c>
      <c r="H30" s="213">
        <f t="shared" si="2"/>
        <v>81491.535348374484</v>
      </c>
      <c r="I30" s="213">
        <f t="shared" si="2"/>
        <v>99266.715769922826</v>
      </c>
      <c r="J30" s="213">
        <f t="shared" si="2"/>
        <v>119460.79995851823</v>
      </c>
      <c r="K30" s="213">
        <f t="shared" si="2"/>
        <v>148425.53929684061</v>
      </c>
      <c r="L30" s="213">
        <f t="shared" si="2"/>
        <v>177356.4990002214</v>
      </c>
      <c r="M30" s="213">
        <f t="shared" si="2"/>
        <v>213963.82001727159</v>
      </c>
    </row>
    <row r="31" spans="1:13" ht="7.5" customHeight="1" x14ac:dyDescent="0.25">
      <c r="B31" s="129"/>
      <c r="C31" s="129"/>
      <c r="D31" s="129"/>
      <c r="E31" s="129"/>
      <c r="F31" s="129"/>
      <c r="G31" s="129"/>
      <c r="H31" s="129"/>
      <c r="I31" s="129"/>
      <c r="J31" s="129"/>
      <c r="K31" s="129"/>
      <c r="L31" s="129"/>
      <c r="M31" s="129"/>
    </row>
    <row r="32" spans="1:13" ht="24.95" customHeight="1" x14ac:dyDescent="0.25">
      <c r="B32" s="130" t="s">
        <v>246</v>
      </c>
      <c r="C32" s="130" t="s">
        <v>209</v>
      </c>
      <c r="D32" s="130" t="s">
        <v>210</v>
      </c>
      <c r="E32" s="130" t="s">
        <v>208</v>
      </c>
      <c r="F32" s="130" t="s">
        <v>211</v>
      </c>
      <c r="G32" s="130" t="s">
        <v>212</v>
      </c>
      <c r="H32" s="130" t="s">
        <v>213</v>
      </c>
      <c r="I32" s="130" t="s">
        <v>214</v>
      </c>
      <c r="J32" s="130" t="s">
        <v>215</v>
      </c>
      <c r="K32" s="130" t="s">
        <v>216</v>
      </c>
      <c r="L32" s="130" t="s">
        <v>217</v>
      </c>
      <c r="M32" s="130" t="s">
        <v>218</v>
      </c>
    </row>
    <row r="33" spans="1:13" ht="24.95" customHeight="1" x14ac:dyDescent="0.25">
      <c r="A33" s="123"/>
      <c r="B33" s="123" t="s">
        <v>253</v>
      </c>
      <c r="C33" s="124">
        <f>103330+37843</f>
        <v>141173</v>
      </c>
      <c r="D33" s="124">
        <f>+D38*D39</f>
        <v>145408.19</v>
      </c>
      <c r="E33" s="124">
        <f t="shared" ref="E33:M33" si="3">+E38*E39</f>
        <v>139711.22733208956</v>
      </c>
      <c r="F33" s="124">
        <f t="shared" si="3"/>
        <v>143902.56415205225</v>
      </c>
      <c r="G33" s="124">
        <f t="shared" si="3"/>
        <v>148219.6410766138</v>
      </c>
      <c r="H33" s="124">
        <f t="shared" si="3"/>
        <v>122132.98424712977</v>
      </c>
      <c r="I33" s="124">
        <f t="shared" si="3"/>
        <v>125796.97377454367</v>
      </c>
      <c r="J33" s="124">
        <f t="shared" si="3"/>
        <v>129570.88298777999</v>
      </c>
      <c r="K33" s="124">
        <f t="shared" si="3"/>
        <v>133458.00947741338</v>
      </c>
      <c r="L33" s="124">
        <f t="shared" si="3"/>
        <v>137461.74976173579</v>
      </c>
      <c r="M33" s="124">
        <f t="shared" si="3"/>
        <v>141585.60225458787</v>
      </c>
    </row>
    <row r="34" spans="1:13" ht="24.95" customHeight="1" x14ac:dyDescent="0.25">
      <c r="B34" s="125" t="s">
        <v>412</v>
      </c>
      <c r="C34" s="126">
        <v>38406</v>
      </c>
      <c r="D34" s="126">
        <f>+D39*D40</f>
        <v>39558.18</v>
      </c>
      <c r="E34" s="126">
        <f t="shared" ref="E34:M34" si="4">+E39*E40</f>
        <v>38008.325932835818</v>
      </c>
      <c r="F34" s="126">
        <f t="shared" si="4"/>
        <v>39148.575710820893</v>
      </c>
      <c r="G34" s="126">
        <f t="shared" si="4"/>
        <v>40323.032982145523</v>
      </c>
      <c r="H34" s="126">
        <f t="shared" si="4"/>
        <v>33226.179177287915</v>
      </c>
      <c r="I34" s="126">
        <f t="shared" si="4"/>
        <v>34222.964552606551</v>
      </c>
      <c r="J34" s="126">
        <f t="shared" si="4"/>
        <v>35249.653489184748</v>
      </c>
      <c r="K34" s="126">
        <f t="shared" si="4"/>
        <v>36307.143093860293</v>
      </c>
      <c r="L34" s="126">
        <f t="shared" si="4"/>
        <v>37396.3573866761</v>
      </c>
      <c r="M34" s="126">
        <f t="shared" si="4"/>
        <v>38518.248108276384</v>
      </c>
    </row>
    <row r="35" spans="1:13" ht="24.95" customHeight="1" x14ac:dyDescent="0.25">
      <c r="B35" s="130" t="s">
        <v>247</v>
      </c>
      <c r="C35" s="141">
        <f t="shared" ref="C35:M35" si="5">SUM(C33:C34)</f>
        <v>179579</v>
      </c>
      <c r="D35" s="141">
        <f t="shared" si="5"/>
        <v>184966.37</v>
      </c>
      <c r="E35" s="141">
        <f t="shared" si="5"/>
        <v>177719.55326492537</v>
      </c>
      <c r="F35" s="141">
        <f t="shared" si="5"/>
        <v>183051.13986287313</v>
      </c>
      <c r="G35" s="141">
        <f t="shared" si="5"/>
        <v>188542.67405875932</v>
      </c>
      <c r="H35" s="141">
        <f t="shared" si="5"/>
        <v>155359.1634244177</v>
      </c>
      <c r="I35" s="141">
        <f t="shared" si="5"/>
        <v>160019.93832715022</v>
      </c>
      <c r="J35" s="141">
        <f t="shared" si="5"/>
        <v>164820.53647696474</v>
      </c>
      <c r="K35" s="141">
        <f t="shared" si="5"/>
        <v>169765.15257127368</v>
      </c>
      <c r="L35" s="141">
        <f t="shared" si="5"/>
        <v>174858.10714841189</v>
      </c>
      <c r="M35" s="141">
        <f t="shared" si="5"/>
        <v>180103.85036286426</v>
      </c>
    </row>
    <row r="36" spans="1:13" ht="5.25" customHeight="1" x14ac:dyDescent="0.25"/>
    <row r="37" spans="1:13" ht="47.25" customHeight="1" x14ac:dyDescent="0.25">
      <c r="B37" s="178" t="s">
        <v>414</v>
      </c>
      <c r="C37" s="142">
        <f>+C30-C35</f>
        <v>-188934.715</v>
      </c>
      <c r="D37" s="142">
        <f t="shared" ref="D37:M37" si="6">+D30-D35</f>
        <v>-188583.11773249999</v>
      </c>
      <c r="E37" s="142">
        <f t="shared" si="6"/>
        <v>-152603.72891480039</v>
      </c>
      <c r="F37" s="142">
        <f t="shared" si="6"/>
        <v>-125342.80152397937</v>
      </c>
      <c r="G37" s="142">
        <f t="shared" si="6"/>
        <v>-129804.08393528152</v>
      </c>
      <c r="H37" s="142">
        <f t="shared" si="6"/>
        <v>-73867.628076043213</v>
      </c>
      <c r="I37" s="142">
        <f t="shared" si="6"/>
        <v>-60753.222557227389</v>
      </c>
      <c r="J37" s="142">
        <f t="shared" si="6"/>
        <v>-45359.736518446516</v>
      </c>
      <c r="K37" s="142">
        <f t="shared" si="6"/>
        <v>-21339.613274433068</v>
      </c>
      <c r="L37" s="142">
        <f t="shared" si="6"/>
        <v>2498.3918518095161</v>
      </c>
      <c r="M37" s="142">
        <f t="shared" si="6"/>
        <v>33859.969654407323</v>
      </c>
    </row>
    <row r="38" spans="1:13" ht="30" customHeight="1" x14ac:dyDescent="0.25">
      <c r="B38" s="168" t="s">
        <v>495</v>
      </c>
      <c r="C38" s="186">
        <f>+C33/C39</f>
        <v>105352.98507462686</v>
      </c>
      <c r="D38" s="186">
        <f>+C38*1.03</f>
        <v>108513.57462686567</v>
      </c>
      <c r="E38" s="186">
        <f t="shared" ref="E38:M40" si="7">+D38*1.03</f>
        <v>111768.98186567164</v>
      </c>
      <c r="F38" s="186">
        <f t="shared" si="7"/>
        <v>115122.05132164179</v>
      </c>
      <c r="G38" s="186">
        <f t="shared" si="7"/>
        <v>118575.71286129105</v>
      </c>
      <c r="H38" s="186">
        <f t="shared" si="7"/>
        <v>122132.98424712977</v>
      </c>
      <c r="I38" s="186">
        <f t="shared" si="7"/>
        <v>125796.97377454367</v>
      </c>
      <c r="J38" s="186">
        <f t="shared" si="7"/>
        <v>129570.88298777999</v>
      </c>
      <c r="K38" s="186">
        <f t="shared" si="7"/>
        <v>133458.00947741338</v>
      </c>
      <c r="L38" s="186">
        <f t="shared" si="7"/>
        <v>137461.74976173579</v>
      </c>
      <c r="M38" s="186">
        <f t="shared" si="7"/>
        <v>141585.60225458787</v>
      </c>
    </row>
    <row r="39" spans="1:13" ht="30" customHeight="1" x14ac:dyDescent="0.25">
      <c r="B39" s="168" t="s">
        <v>450</v>
      </c>
      <c r="C39" s="168">
        <v>1.34</v>
      </c>
      <c r="D39" s="168">
        <v>1.34</v>
      </c>
      <c r="E39" s="229">
        <v>1.25</v>
      </c>
      <c r="F39" s="229">
        <v>1.25</v>
      </c>
      <c r="G39" s="168">
        <v>1.25</v>
      </c>
      <c r="H39" s="229">
        <v>1</v>
      </c>
      <c r="I39" s="229">
        <v>1</v>
      </c>
      <c r="J39" s="229">
        <v>1</v>
      </c>
      <c r="K39" s="229">
        <v>1</v>
      </c>
      <c r="L39" s="229">
        <v>1</v>
      </c>
      <c r="M39" s="229">
        <v>1</v>
      </c>
    </row>
    <row r="40" spans="1:13" ht="30" customHeight="1" x14ac:dyDescent="0.25">
      <c r="B40" s="168" t="s">
        <v>494</v>
      </c>
      <c r="C40" s="186">
        <f>+C34/C39</f>
        <v>28661.194029850743</v>
      </c>
      <c r="D40" s="186">
        <f>+C40*1.03</f>
        <v>29521.029850746265</v>
      </c>
      <c r="E40" s="186">
        <f t="shared" si="7"/>
        <v>30406.660746268655</v>
      </c>
      <c r="F40" s="186">
        <f t="shared" si="7"/>
        <v>31318.860568656717</v>
      </c>
      <c r="G40" s="186">
        <f t="shared" si="7"/>
        <v>32258.426385716419</v>
      </c>
      <c r="H40" s="186">
        <f t="shared" si="7"/>
        <v>33226.179177287915</v>
      </c>
      <c r="I40" s="186">
        <f t="shared" si="7"/>
        <v>34222.964552606551</v>
      </c>
      <c r="J40" s="186">
        <f t="shared" si="7"/>
        <v>35249.653489184748</v>
      </c>
      <c r="K40" s="186">
        <f t="shared" si="7"/>
        <v>36307.143093860293</v>
      </c>
      <c r="L40" s="186">
        <f t="shared" si="7"/>
        <v>37396.3573866761</v>
      </c>
      <c r="M40" s="186">
        <f t="shared" si="7"/>
        <v>38518.248108276384</v>
      </c>
    </row>
    <row r="41" spans="1:13" ht="30" customHeight="1" x14ac:dyDescent="0.25"/>
    <row r="42" spans="1:13" ht="30" customHeight="1" x14ac:dyDescent="0.25"/>
    <row r="43" spans="1:13" ht="30" customHeight="1" x14ac:dyDescent="0.25"/>
    <row r="44" spans="1:13" ht="30" customHeight="1" x14ac:dyDescent="0.25"/>
    <row r="45" spans="1:13" ht="30" customHeight="1" x14ac:dyDescent="0.25"/>
    <row r="46" spans="1:13" ht="30" customHeight="1" x14ac:dyDescent="0.25"/>
    <row r="47" spans="1:13" ht="30" customHeight="1" x14ac:dyDescent="0.25"/>
  </sheetData>
  <sheetProtection algorithmName="SHA-512" hashValue="JJxjrhug7UX18bGztdZQN3Gu4TjpKO/wBpUfHECpafIYwaHQmGTkSIFBgcjSI6rL6O5g9PlZEqeo/iJLZK5mbQ==" saltValue="qwJDvOWyJxvzziQyRSZRrw==" spinCount="100000" sheet="1" objects="1" scenarios="1"/>
  <mergeCells count="1">
    <mergeCell ref="B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3"/>
  <sheetViews>
    <sheetView topLeftCell="A24" zoomScaleNormal="100" workbookViewId="0">
      <selection activeCell="E28" sqref="E28"/>
    </sheetView>
  </sheetViews>
  <sheetFormatPr defaultRowHeight="15" x14ac:dyDescent="0.25"/>
  <cols>
    <col min="1" max="1" width="2.42578125" customWidth="1"/>
    <col min="2" max="2" width="5.140625" customWidth="1"/>
    <col min="3" max="3" width="17.7109375" customWidth="1"/>
    <col min="4" max="4" width="35.85546875" customWidth="1"/>
    <col min="5" max="5" width="41.7109375" customWidth="1"/>
    <col min="6" max="6" width="35.42578125" customWidth="1"/>
    <col min="7" max="7" width="4.140625" customWidth="1"/>
    <col min="8" max="8" width="6.140625" customWidth="1"/>
    <col min="10" max="10" width="9.85546875" bestFit="1" customWidth="1"/>
    <col min="11" max="13" width="9.85546875" customWidth="1"/>
    <col min="14" max="14" width="10.5703125" bestFit="1" customWidth="1"/>
    <col min="15" max="15" width="10.5703125" customWidth="1"/>
    <col min="16" max="16" width="11.5703125" bestFit="1" customWidth="1"/>
    <col min="17" max="17" width="15.140625" customWidth="1"/>
    <col min="18" max="18" width="11.7109375" customWidth="1"/>
    <col min="19" max="19" width="14.5703125" customWidth="1"/>
    <col min="20" max="20" width="14" customWidth="1"/>
    <col min="21" max="21" width="13.140625" bestFit="1" customWidth="1"/>
    <col min="22" max="22" width="16" bestFit="1" customWidth="1"/>
    <col min="23" max="23" width="17.85546875" bestFit="1" customWidth="1"/>
    <col min="24" max="24" width="14.85546875" customWidth="1"/>
    <col min="25" max="25" width="14.28515625" customWidth="1"/>
    <col min="26" max="26" width="15.5703125" bestFit="1" customWidth="1"/>
    <col min="27" max="27" width="13.42578125" customWidth="1"/>
    <col min="28" max="28" width="12.7109375" customWidth="1"/>
    <col min="29" max="29" width="14.140625" customWidth="1"/>
  </cols>
  <sheetData>
    <row r="1" spans="2:44" ht="10.5" customHeight="1" x14ac:dyDescent="0.25"/>
    <row r="2" spans="2:44" ht="45.75" customHeight="1" x14ac:dyDescent="0.25">
      <c r="B2" s="269" t="s">
        <v>257</v>
      </c>
      <c r="C2" s="269"/>
      <c r="D2" s="269"/>
      <c r="E2" s="269"/>
      <c r="F2" s="269"/>
      <c r="G2" s="135"/>
      <c r="H2" s="270" t="s">
        <v>338</v>
      </c>
      <c r="I2" s="270"/>
      <c r="J2" s="270"/>
      <c r="K2" s="270"/>
      <c r="L2" s="270"/>
      <c r="M2" s="270"/>
      <c r="N2" s="270"/>
      <c r="O2" s="270"/>
      <c r="P2" s="270"/>
      <c r="Q2" s="270"/>
      <c r="R2" s="270"/>
      <c r="S2" s="270"/>
      <c r="T2" s="270"/>
      <c r="U2" s="270"/>
      <c r="V2" s="270"/>
      <c r="W2" s="270"/>
      <c r="X2" s="251"/>
      <c r="Y2" s="251"/>
      <c r="Z2" s="251"/>
      <c r="AA2" s="251"/>
      <c r="AB2" s="251"/>
      <c r="AC2" s="251"/>
    </row>
    <row r="3" spans="2:44" ht="41.25" customHeight="1" x14ac:dyDescent="0.25">
      <c r="B3" s="137" t="s">
        <v>261</v>
      </c>
      <c r="C3" s="136" t="s">
        <v>258</v>
      </c>
      <c r="D3" s="136" t="s">
        <v>259</v>
      </c>
      <c r="E3" s="136" t="s">
        <v>314</v>
      </c>
      <c r="F3" s="137" t="s">
        <v>260</v>
      </c>
      <c r="H3" s="137" t="s">
        <v>258</v>
      </c>
      <c r="I3" s="137" t="s">
        <v>229</v>
      </c>
      <c r="J3" s="153" t="s">
        <v>399</v>
      </c>
      <c r="K3" s="153" t="s">
        <v>400</v>
      </c>
      <c r="L3" s="153" t="s">
        <v>285</v>
      </c>
      <c r="M3" s="153" t="s">
        <v>300</v>
      </c>
      <c r="N3" s="153" t="s">
        <v>301</v>
      </c>
      <c r="O3" s="153" t="s">
        <v>451</v>
      </c>
      <c r="P3" s="153" t="s">
        <v>488</v>
      </c>
      <c r="Q3" s="153" t="s">
        <v>401</v>
      </c>
      <c r="R3" s="153" t="s">
        <v>402</v>
      </c>
      <c r="S3" s="153" t="s">
        <v>403</v>
      </c>
      <c r="T3" s="153" t="s">
        <v>285</v>
      </c>
      <c r="U3" s="153" t="s">
        <v>300</v>
      </c>
      <c r="V3" s="153" t="s">
        <v>301</v>
      </c>
      <c r="W3" s="153" t="s">
        <v>489</v>
      </c>
      <c r="X3" s="153" t="s">
        <v>408</v>
      </c>
      <c r="Y3" s="2"/>
      <c r="Z3" s="2"/>
      <c r="AA3" s="2"/>
      <c r="AB3" s="2"/>
      <c r="AC3" s="252"/>
    </row>
    <row r="4" spans="2:44" ht="49.5" customHeight="1" x14ac:dyDescent="0.25">
      <c r="B4" s="115" t="s">
        <v>286</v>
      </c>
      <c r="C4" s="138" t="s">
        <v>266</v>
      </c>
      <c r="D4" s="154" t="s">
        <v>262</v>
      </c>
      <c r="E4" s="155" t="s">
        <v>315</v>
      </c>
      <c r="F4" s="156" t="s">
        <v>263</v>
      </c>
      <c r="H4" s="120">
        <v>2020</v>
      </c>
      <c r="I4" s="187">
        <f>Pipeline!M5</f>
        <v>49.45</v>
      </c>
      <c r="J4" s="121">
        <f t="shared" ref="J4:J14" si="0">I4-K4-L4</f>
        <v>33.055</v>
      </c>
      <c r="K4" s="121">
        <f>Pipeline!M5-Pipeline!K5</f>
        <v>11.450000000000003</v>
      </c>
      <c r="L4" s="121">
        <f t="shared" ref="L4:L14" si="1">I4*10%</f>
        <v>4.9450000000000003</v>
      </c>
      <c r="M4" s="121" t="s">
        <v>248</v>
      </c>
      <c r="N4" s="121" t="s">
        <v>248</v>
      </c>
      <c r="O4" s="121">
        <v>100</v>
      </c>
      <c r="P4" s="161">
        <f>ROUND(J4,0)*Financial!M32</f>
        <v>6600</v>
      </c>
      <c r="Q4" s="161">
        <f>ROUND(K4,0)*Financial!M32/2</f>
        <v>1100</v>
      </c>
      <c r="R4" s="228">
        <v>0</v>
      </c>
      <c r="S4" s="228">
        <v>0</v>
      </c>
      <c r="T4" s="161">
        <f t="shared" ref="T4:T14" si="2">ROUND(L4,0)*O4</f>
        <v>500</v>
      </c>
      <c r="U4" s="228">
        <v>0</v>
      </c>
      <c r="V4" s="228">
        <v>0</v>
      </c>
      <c r="W4" s="267">
        <f>ROUND(J4,0)*10%*(Financial!M32*30%)+ROUND(K4,0)*10%*(Financial!N32/2*30%)+ROUND(L4,0)*10%*(O4*30%)</f>
        <v>250.78500000000003</v>
      </c>
      <c r="X4" s="161">
        <f t="shared" ref="X4:X14" si="3">SUM(P4:V4)</f>
        <v>8200</v>
      </c>
      <c r="Y4" s="2"/>
      <c r="Z4" s="2"/>
      <c r="AA4" s="2"/>
      <c r="AB4" s="2"/>
      <c r="AC4" s="2"/>
      <c r="AG4" s="122"/>
      <c r="AH4" s="122"/>
      <c r="AI4" s="122"/>
      <c r="AJ4" s="112"/>
      <c r="AK4" s="112"/>
      <c r="AL4" s="112"/>
      <c r="AM4" s="112"/>
      <c r="AN4" s="56"/>
      <c r="AO4" s="56"/>
      <c r="AP4" s="56"/>
      <c r="AQ4" s="57"/>
      <c r="AR4" s="57"/>
    </row>
    <row r="5" spans="2:44" ht="30" x14ac:dyDescent="0.25">
      <c r="B5" s="115" t="s">
        <v>287</v>
      </c>
      <c r="C5" s="138">
        <v>2020</v>
      </c>
      <c r="D5" s="154" t="s">
        <v>264</v>
      </c>
      <c r="E5" s="156" t="s">
        <v>316</v>
      </c>
      <c r="F5" s="147" t="s">
        <v>273</v>
      </c>
      <c r="H5">
        <v>2021</v>
      </c>
      <c r="I5" s="187">
        <f>Pipeline!N5</f>
        <v>62.319650000000003</v>
      </c>
      <c r="J5" s="121">
        <f t="shared" si="0"/>
        <v>36.768034999999998</v>
      </c>
      <c r="K5" s="121">
        <f>Pipeline!N5-Pipeline!L5</f>
        <v>19.319650000000003</v>
      </c>
      <c r="L5" s="121">
        <f t="shared" si="1"/>
        <v>6.2319650000000006</v>
      </c>
      <c r="M5" s="121" t="s">
        <v>248</v>
      </c>
      <c r="N5" s="121" t="s">
        <v>248</v>
      </c>
      <c r="O5" s="121">
        <v>100</v>
      </c>
      <c r="P5" s="161">
        <f>ROUND(J5,0)*Financial!N32</f>
        <v>8473</v>
      </c>
      <c r="Q5" s="161">
        <f>ROUND(K5,0)*30%*(Financial!N32/2)</f>
        <v>652.65</v>
      </c>
      <c r="R5" s="118">
        <v>0</v>
      </c>
      <c r="S5" s="118">
        <v>0</v>
      </c>
      <c r="T5" s="161">
        <f t="shared" si="2"/>
        <v>600</v>
      </c>
      <c r="U5" s="161">
        <v>0</v>
      </c>
      <c r="V5" s="161">
        <v>0</v>
      </c>
      <c r="W5" s="267">
        <f>ROUND(J5,0)*10%*(Financial!N32*30%)+ROUND(K5,0)*10%*(Financial!O32/2*30%)+ROUND(L5,0)*10%*(O5*30%)</f>
        <v>340.71825000000001</v>
      </c>
      <c r="X5" s="161">
        <f t="shared" si="3"/>
        <v>9725.65</v>
      </c>
      <c r="Y5" s="2"/>
      <c r="Z5" s="2"/>
      <c r="AA5" s="2"/>
      <c r="AB5" s="2"/>
      <c r="AC5" s="2"/>
    </row>
    <row r="6" spans="2:44" ht="30" x14ac:dyDescent="0.25">
      <c r="B6" s="115" t="s">
        <v>288</v>
      </c>
      <c r="C6" s="138">
        <v>2020</v>
      </c>
      <c r="D6" s="154" t="s">
        <v>265</v>
      </c>
      <c r="E6" s="156" t="s">
        <v>316</v>
      </c>
      <c r="F6" s="147" t="s">
        <v>273</v>
      </c>
      <c r="H6">
        <v>2022</v>
      </c>
      <c r="I6" s="187">
        <f>Pipeline!O5</f>
        <v>80.287997500000003</v>
      </c>
      <c r="J6" s="121">
        <f t="shared" si="0"/>
        <v>41.421200249999998</v>
      </c>
      <c r="K6" s="121">
        <f>Pipeline!O5-Pipeline!M5</f>
        <v>30.8379975</v>
      </c>
      <c r="L6" s="121">
        <f t="shared" si="1"/>
        <v>8.028799750000001</v>
      </c>
      <c r="M6" s="121">
        <f>I6*40%</f>
        <v>32.115199000000004</v>
      </c>
      <c r="N6" s="121">
        <f>I6*30%</f>
        <v>24.086399249999999</v>
      </c>
      <c r="O6" s="121">
        <v>100</v>
      </c>
      <c r="P6" s="161">
        <f>ROUND(J6,0)*Financial!O32</f>
        <v>9858.4499999999989</v>
      </c>
      <c r="Q6" s="161">
        <f>ROUND(K6,0)*30%*(Financial!O32/2)</f>
        <v>1118.0924999999997</v>
      </c>
      <c r="R6" s="161">
        <f>ROUND(K6,0)*40%*(Financial!O36)/2</f>
        <v>620</v>
      </c>
      <c r="S6" s="161">
        <f>ROUND(K6,0)*30%*(Financial!O37/2)</f>
        <v>464.99999999999994</v>
      </c>
      <c r="T6" s="161">
        <f t="shared" si="2"/>
        <v>800</v>
      </c>
      <c r="U6" s="161">
        <f>ROUND(M6,0)*Financial!O36</f>
        <v>3200</v>
      </c>
      <c r="V6" s="161">
        <f>ROUND(N6,0)*Financial!O37</f>
        <v>2400</v>
      </c>
      <c r="W6" s="267">
        <f>ROUND(J6,0)*10%*(Financial!O32*30%)+ROUND(K6,0)*10%*((Financial!O32/2)*30%)</f>
        <v>407.56274999999994</v>
      </c>
      <c r="X6" s="161">
        <f t="shared" si="3"/>
        <v>18461.5425</v>
      </c>
      <c r="Y6" s="2"/>
      <c r="Z6" s="2"/>
      <c r="AA6" s="2"/>
      <c r="AB6" s="2"/>
      <c r="AC6" s="2"/>
    </row>
    <row r="7" spans="2:44" ht="66.75" customHeight="1" x14ac:dyDescent="0.25">
      <c r="B7" s="115" t="s">
        <v>289</v>
      </c>
      <c r="C7" s="138">
        <v>2022</v>
      </c>
      <c r="D7" s="155" t="s">
        <v>268</v>
      </c>
      <c r="E7" s="147" t="s">
        <v>317</v>
      </c>
      <c r="F7" s="147" t="s">
        <v>272</v>
      </c>
      <c r="H7">
        <v>2023</v>
      </c>
      <c r="I7" s="187">
        <f>Pipeline!P5</f>
        <v>102.53572212500001</v>
      </c>
      <c r="J7" s="121">
        <f t="shared" si="0"/>
        <v>52.066077787499999</v>
      </c>
      <c r="K7" s="121">
        <f>Pipeline!P5-Pipeline!N5</f>
        <v>40.216072125000004</v>
      </c>
      <c r="L7" s="121">
        <f t="shared" si="1"/>
        <v>10.253572212500002</v>
      </c>
      <c r="M7" s="121">
        <f t="shared" ref="M7:M14" si="4">I7*70%</f>
        <v>71.775005487499996</v>
      </c>
      <c r="N7" s="121">
        <f t="shared" ref="N7:N14" si="5">I7*30%</f>
        <v>30.7607166375</v>
      </c>
      <c r="O7" s="121">
        <v>100</v>
      </c>
      <c r="P7" s="161">
        <f>ROUND(J7,0)*Financial!P32</f>
        <v>13128.57</v>
      </c>
      <c r="Q7" s="161">
        <f>ROUND(K7,0)*30%*(Financial!P32/2)</f>
        <v>1514.835</v>
      </c>
      <c r="R7" s="161">
        <f>ROUND(K7,0)*70%*(Financial!P36)/2</f>
        <v>1400</v>
      </c>
      <c r="S7" s="266">
        <f>ROUND(K7,0)*30%*(Financial!P37/2)</f>
        <v>600</v>
      </c>
      <c r="T7" s="161">
        <f t="shared" si="2"/>
        <v>1000</v>
      </c>
      <c r="U7" s="161">
        <f>ROUND(M7,0)*Financial!P36</f>
        <v>7200</v>
      </c>
      <c r="V7" s="161">
        <f>ROUND(N7,0)*Financial!P37</f>
        <v>3100</v>
      </c>
      <c r="W7" s="267">
        <f>ROUND(J7,0)*10%*(Financial!P32*30%)+ROUND(K7,0)*10%*((Financial!P32/2)*30%)</f>
        <v>545.34059999999999</v>
      </c>
      <c r="X7" s="161">
        <f t="shared" si="3"/>
        <v>27943.404999999999</v>
      </c>
      <c r="Y7" s="2"/>
      <c r="Z7" s="2"/>
      <c r="AA7" s="2"/>
      <c r="AB7" s="2"/>
      <c r="AC7" s="253"/>
    </row>
    <row r="8" spans="2:44" ht="60" x14ac:dyDescent="0.25">
      <c r="B8" s="115" t="s">
        <v>290</v>
      </c>
      <c r="C8" s="138">
        <v>2022</v>
      </c>
      <c r="D8" s="155" t="s">
        <v>269</v>
      </c>
      <c r="E8" s="147" t="s">
        <v>318</v>
      </c>
      <c r="F8" s="147" t="s">
        <v>272</v>
      </c>
      <c r="H8">
        <v>2024</v>
      </c>
      <c r="I8" s="187">
        <f>Pipeline!Q5</f>
        <v>128.91266794374999</v>
      </c>
      <c r="J8" s="121">
        <f t="shared" si="0"/>
        <v>67.396730705625004</v>
      </c>
      <c r="K8" s="121">
        <f>Pipeline!Q5-Pipeline!O5</f>
        <v>48.624670443749991</v>
      </c>
      <c r="L8" s="121">
        <f t="shared" si="1"/>
        <v>12.891266794374999</v>
      </c>
      <c r="M8" s="121">
        <f t="shared" si="4"/>
        <v>90.238867560624996</v>
      </c>
      <c r="N8" s="121">
        <f t="shared" si="5"/>
        <v>38.673800383124998</v>
      </c>
      <c r="O8" s="121">
        <v>100</v>
      </c>
      <c r="P8" s="161">
        <f>ROUND(J8,0)*Financial!Q32</f>
        <v>17761.440374999998</v>
      </c>
      <c r="Q8" s="161">
        <f>ROUND(K8,0)*30%*(Financial!Q32/2)</f>
        <v>1948.4565187499998</v>
      </c>
      <c r="R8" s="161">
        <f>ROUND(K8,0)*70%*(Financial!Q36)/2</f>
        <v>1714.9999999999998</v>
      </c>
      <c r="S8" s="266">
        <f>ROUND(K8,0)*30%*(Financial!Q37/2)</f>
        <v>639.44999999999993</v>
      </c>
      <c r="T8" s="161">
        <f t="shared" si="2"/>
        <v>1300</v>
      </c>
      <c r="U8" s="161">
        <f>ROUND(M8,0)*Financial!Q36</f>
        <v>9000</v>
      </c>
      <c r="V8" s="161">
        <f>ROUND(N8,0)*Financial!Q37</f>
        <v>3393</v>
      </c>
      <c r="W8" s="267">
        <f>ROUND(J8,0)*10%*(Financial!Q32*30%)+ROUND(K8,0)*10%*((Financial!Q32/2)*30%)</f>
        <v>727.6888631249999</v>
      </c>
      <c r="X8" s="161">
        <f t="shared" si="3"/>
        <v>35757.34689375</v>
      </c>
      <c r="Y8" s="2"/>
      <c r="Z8" s="2"/>
      <c r="AA8" s="2"/>
      <c r="AB8" s="2"/>
      <c r="AC8" s="2"/>
    </row>
    <row r="9" spans="2:44" ht="30" x14ac:dyDescent="0.25">
      <c r="B9" s="115" t="s">
        <v>291</v>
      </c>
      <c r="C9" s="138" t="s">
        <v>267</v>
      </c>
      <c r="D9" s="264" t="s">
        <v>270</v>
      </c>
      <c r="E9" s="265" t="s">
        <v>319</v>
      </c>
      <c r="F9" s="147" t="s">
        <v>272</v>
      </c>
      <c r="G9" s="117"/>
      <c r="H9">
        <v>2025</v>
      </c>
      <c r="I9" s="187">
        <f>Pipeline!R5</f>
        <v>159.6421868853125</v>
      </c>
      <c r="J9" s="121">
        <f t="shared" si="0"/>
        <v>86.57150343646876</v>
      </c>
      <c r="K9" s="121">
        <f>Pipeline!R5-Pipeline!P5</f>
        <v>57.106464760312491</v>
      </c>
      <c r="L9" s="121">
        <f t="shared" si="1"/>
        <v>15.96421868853125</v>
      </c>
      <c r="M9" s="121">
        <f t="shared" si="4"/>
        <v>111.74953081971874</v>
      </c>
      <c r="N9" s="121">
        <f t="shared" si="5"/>
        <v>47.892656065593748</v>
      </c>
      <c r="O9" s="121">
        <v>100</v>
      </c>
      <c r="P9" s="161">
        <f>ROUND(J9,0)*Financial!R32</f>
        <v>24216.531018749996</v>
      </c>
      <c r="Q9" s="161">
        <f>ROUND(K9,0)*30%*(Financial!R32/2)</f>
        <v>2379.9004621874997</v>
      </c>
      <c r="R9" s="161">
        <f>ROUND(K9,0)*70%*(Financial!R36)/2</f>
        <v>1995</v>
      </c>
      <c r="S9" s="266">
        <f>ROUND(K9,0)*30%*(Financial!R37/2)</f>
        <v>632.69999999999993</v>
      </c>
      <c r="T9" s="161">
        <f t="shared" si="2"/>
        <v>1600</v>
      </c>
      <c r="U9" s="161">
        <f>ROUND(M9,0)*Financial!R36</f>
        <v>11200</v>
      </c>
      <c r="V9" s="161">
        <f>ROUND(N9,0)*Financial!R37</f>
        <v>3552</v>
      </c>
      <c r="W9" s="267">
        <f>ROUND(J9,0)*10%*(Financial!R32*30%)+ROUND(K9,0)*10%*((Financial!R32/2)*30%)</f>
        <v>964.48597678124997</v>
      </c>
      <c r="X9" s="161">
        <f t="shared" si="3"/>
        <v>45576.131480937496</v>
      </c>
    </row>
    <row r="10" spans="2:44" ht="60" x14ac:dyDescent="0.25">
      <c r="B10" s="115" t="s">
        <v>292</v>
      </c>
      <c r="C10" s="138" t="s">
        <v>267</v>
      </c>
      <c r="D10" s="264" t="s">
        <v>271</v>
      </c>
      <c r="E10" s="265" t="s">
        <v>320</v>
      </c>
      <c r="F10" s="147" t="s">
        <v>272</v>
      </c>
      <c r="G10" s="117"/>
      <c r="H10">
        <v>2026</v>
      </c>
      <c r="I10" s="187">
        <f>Pipeline!S5</f>
        <v>195.17914929310936</v>
      </c>
      <c r="J10" s="121">
        <f t="shared" si="0"/>
        <v>109.39475301443906</v>
      </c>
      <c r="K10" s="121">
        <f>Pipeline!S5-Pipeline!Q5</f>
        <v>66.266481349359367</v>
      </c>
      <c r="L10" s="121">
        <f t="shared" si="1"/>
        <v>19.517914929310937</v>
      </c>
      <c r="M10" s="121">
        <f t="shared" si="4"/>
        <v>136.62540450517653</v>
      </c>
      <c r="N10" s="121">
        <f t="shared" si="5"/>
        <v>58.553744787932807</v>
      </c>
      <c r="O10" s="121">
        <v>150</v>
      </c>
      <c r="P10" s="161">
        <f>ROUND(J10,0)*Financial!S32</f>
        <v>31857.264081562495</v>
      </c>
      <c r="Q10" s="161">
        <f>ROUND(K10,0)*30%*(Financial!S32/2)</f>
        <v>2893.4579303437495</v>
      </c>
      <c r="R10" s="161">
        <f>ROUND(K10,0)*70%*(Financial!S36)/2</f>
        <v>2310</v>
      </c>
      <c r="S10" s="266">
        <f>ROUND(K10,0)*30%*(Financial!S37/2)</f>
        <v>594</v>
      </c>
      <c r="T10" s="161">
        <f t="shared" si="2"/>
        <v>3000</v>
      </c>
      <c r="U10" s="161">
        <f>ROUND(M10,0)*Financial!S36</f>
        <v>13700</v>
      </c>
      <c r="V10" s="161">
        <f>ROUND(N10,0)*Financial!S37</f>
        <v>3540</v>
      </c>
      <c r="W10" s="267">
        <f>ROUND(J10,0)*10%*(Financial!S32*30%)+ROUND(K10,0)*10%*((Financial!S32/2)*30%)</f>
        <v>1245.0637154812498</v>
      </c>
      <c r="X10" s="161">
        <f t="shared" si="3"/>
        <v>57894.72201190624</v>
      </c>
    </row>
    <row r="11" spans="2:44" ht="30" x14ac:dyDescent="0.25">
      <c r="B11" s="115" t="s">
        <v>293</v>
      </c>
      <c r="C11" s="138">
        <v>2022</v>
      </c>
      <c r="D11" s="155" t="s">
        <v>321</v>
      </c>
      <c r="E11" s="147" t="s">
        <v>472</v>
      </c>
      <c r="F11" s="157"/>
      <c r="G11" s="117"/>
      <c r="H11">
        <v>2027</v>
      </c>
      <c r="I11" s="187">
        <f>Pipeline!T5</f>
        <v>236.14566387457575</v>
      </c>
      <c r="J11" s="121">
        <f t="shared" si="0"/>
        <v>136.02762049785491</v>
      </c>
      <c r="K11" s="121">
        <f>Pipeline!T5-Pipeline!R5</f>
        <v>76.503476989263248</v>
      </c>
      <c r="L11" s="121">
        <f t="shared" si="1"/>
        <v>23.614566387457575</v>
      </c>
      <c r="M11" s="121">
        <f t="shared" si="4"/>
        <v>165.30196471220302</v>
      </c>
      <c r="N11" s="121">
        <f t="shared" si="5"/>
        <v>70.843699162372715</v>
      </c>
      <c r="O11" s="121">
        <v>150</v>
      </c>
      <c r="P11" s="161">
        <f>ROUND(J11,0)*Financial!T32</f>
        <v>41735.938631624987</v>
      </c>
      <c r="Q11" s="161">
        <f>ROUND(K11,0)*30%*(Financial!T32/2)</f>
        <v>3544.4859646710925</v>
      </c>
      <c r="R11" s="161">
        <f>ROUND(K11,0)*70%*(Financial!T36)/2</f>
        <v>2695</v>
      </c>
      <c r="S11" s="266">
        <f>ROUND(K11,0)*30%*(Financial!T37/2)</f>
        <v>531.29999999999995</v>
      </c>
      <c r="T11" s="161">
        <f t="shared" si="2"/>
        <v>3600</v>
      </c>
      <c r="U11" s="161">
        <f>ROUND(M11,0)*Financial!T36</f>
        <v>16500</v>
      </c>
      <c r="V11" s="161">
        <f>ROUND(N11,0)*Financial!T37</f>
        <v>3266</v>
      </c>
      <c r="W11" s="267">
        <f>ROUND(J11,0)*10%*(Financial!T32*30%)+ROUND(K11,0)*10%*((Financial!T32/2)*30%)</f>
        <v>1606.526755415859</v>
      </c>
      <c r="X11" s="161">
        <f t="shared" si="3"/>
        <v>71872.724596296088</v>
      </c>
    </row>
    <row r="12" spans="2:44" ht="30" x14ac:dyDescent="0.25">
      <c r="B12" s="115" t="s">
        <v>294</v>
      </c>
      <c r="C12" s="138">
        <v>2022</v>
      </c>
      <c r="D12" s="155" t="s">
        <v>322</v>
      </c>
      <c r="E12" s="147" t="s">
        <v>473</v>
      </c>
      <c r="F12" s="121"/>
      <c r="G12" s="117"/>
      <c r="H12">
        <v>2028</v>
      </c>
      <c r="I12" s="187">
        <f>Pipeline!U5</f>
        <v>283.30665954951212</v>
      </c>
      <c r="J12" s="121">
        <f t="shared" si="0"/>
        <v>166.84848333815813</v>
      </c>
      <c r="K12" s="121">
        <f>Pipeline!U5-Pipeline!S5</f>
        <v>88.127510256402758</v>
      </c>
      <c r="L12" s="121">
        <f t="shared" si="1"/>
        <v>28.330665954951215</v>
      </c>
      <c r="M12" s="121">
        <f t="shared" si="4"/>
        <v>198.31466168465846</v>
      </c>
      <c r="N12" s="121">
        <f t="shared" si="5"/>
        <v>84.99199786485363</v>
      </c>
      <c r="O12" s="121">
        <v>150</v>
      </c>
      <c r="P12" s="161">
        <f>ROUND(J12,0)*Financial!U32</f>
        <v>53811.74146364296</v>
      </c>
      <c r="Q12" s="161">
        <f>ROUND(K12,0)*30%*(Financial!U32/2)</f>
        <v>4253.3831576053117</v>
      </c>
      <c r="R12" s="161">
        <f>ROUND(K12,0)*70%*(Financial!U36)/2</f>
        <v>3079.9999999999995</v>
      </c>
      <c r="S12" s="266">
        <f>ROUND(K12,0)*30%*(Financial!U37/2)</f>
        <v>396</v>
      </c>
      <c r="T12" s="161">
        <f t="shared" si="2"/>
        <v>4200</v>
      </c>
      <c r="U12" s="161">
        <f>ROUND(M12,0)*Financial!U36</f>
        <v>19800</v>
      </c>
      <c r="V12" s="161">
        <f>ROUND(N12,0)*Financial!U37</f>
        <v>2550</v>
      </c>
      <c r="W12" s="267">
        <f>ROUND(J12,0)*10%*(Financial!U32*30%)+ROUND(K12,0)*10%*((Financial!U32/2)*30%)</f>
        <v>2039.69055966982</v>
      </c>
      <c r="X12" s="161">
        <f t="shared" si="3"/>
        <v>88091.12462124828</v>
      </c>
    </row>
    <row r="13" spans="2:44" ht="30" x14ac:dyDescent="0.25">
      <c r="B13" s="115" t="s">
        <v>295</v>
      </c>
      <c r="C13" s="138">
        <v>2023</v>
      </c>
      <c r="D13" s="155" t="s">
        <v>470</v>
      </c>
      <c r="E13" s="147" t="s">
        <v>474</v>
      </c>
      <c r="F13" s="121"/>
      <c r="G13" s="117"/>
      <c r="H13">
        <v>2029</v>
      </c>
      <c r="I13" s="187">
        <f>Pipeline!V5</f>
        <v>337.56655652881398</v>
      </c>
      <c r="J13" s="121">
        <f t="shared" si="0"/>
        <v>202.38900822169435</v>
      </c>
      <c r="K13" s="121">
        <f>Pipeline!V5-Pipeline!T5</f>
        <v>101.42089265423823</v>
      </c>
      <c r="L13" s="121">
        <f t="shared" si="1"/>
        <v>33.756655652881399</v>
      </c>
      <c r="M13" s="121">
        <f t="shared" si="4"/>
        <v>236.29658957016977</v>
      </c>
      <c r="N13" s="121">
        <f t="shared" si="5"/>
        <v>101.26996695864419</v>
      </c>
      <c r="O13" s="121">
        <v>150</v>
      </c>
      <c r="P13" s="161">
        <f>ROUND(J13,0)*Financial!V32</f>
        <v>68344.13391879444</v>
      </c>
      <c r="Q13" s="161">
        <f>ROUND(K13,0)*30%*(Financial!V32/2)</f>
        <v>5125.8100439095824</v>
      </c>
      <c r="R13" s="161">
        <f>ROUND(K13,0)*70%*(Financial!V36)/2</f>
        <v>3534.9999999999995</v>
      </c>
      <c r="S13" s="266">
        <f>ROUND(K13,0)*30%*(Financial!V37/2)</f>
        <v>227.24999999999997</v>
      </c>
      <c r="T13" s="161">
        <f t="shared" si="2"/>
        <v>5100</v>
      </c>
      <c r="U13" s="161">
        <f>ROUND(M13,0)*Financial!V36</f>
        <v>23600</v>
      </c>
      <c r="V13" s="161">
        <f>ROUND(N13,0)*Financial!V37</f>
        <v>1515</v>
      </c>
      <c r="W13" s="267">
        <f>ROUND(J13,0)*10%*(Financial!V32*30%)+ROUND(K13,0)*10%*((Financial!V32/2)*30%)</f>
        <v>2562.9050219547917</v>
      </c>
      <c r="X13" s="161">
        <f t="shared" si="3"/>
        <v>107447.19396270403</v>
      </c>
    </row>
    <row r="14" spans="2:44" ht="30" customHeight="1" x14ac:dyDescent="0.25">
      <c r="B14" s="115" t="s">
        <v>296</v>
      </c>
      <c r="C14" s="138">
        <v>2023</v>
      </c>
      <c r="D14" s="155" t="s">
        <v>471</v>
      </c>
      <c r="E14" s="147" t="s">
        <v>475</v>
      </c>
      <c r="F14" s="121"/>
      <c r="G14" s="117"/>
      <c r="H14">
        <v>2030</v>
      </c>
      <c r="I14" s="187">
        <f>Pipeline!W5</f>
        <v>415.58062840726348</v>
      </c>
      <c r="J14" s="121">
        <f t="shared" si="0"/>
        <v>241.74859670878578</v>
      </c>
      <c r="K14" s="121">
        <f>Pipeline!W5-Pipeline!U5</f>
        <v>132.27396885775136</v>
      </c>
      <c r="L14" s="121">
        <f t="shared" si="1"/>
        <v>41.55806284072635</v>
      </c>
      <c r="M14" s="121">
        <f t="shared" si="4"/>
        <v>290.90643988508441</v>
      </c>
      <c r="N14" s="121">
        <f t="shared" si="5"/>
        <v>124.67418852217904</v>
      </c>
      <c r="O14" s="121">
        <v>150</v>
      </c>
      <c r="P14" s="161">
        <f>ROUND(J14,0)*Financial!W32</f>
        <v>85971.507073097368</v>
      </c>
      <c r="Q14" s="161">
        <f>ROUND(K14,0)*30%*(Financial!W32/2)</f>
        <v>7034.0323968897846</v>
      </c>
      <c r="R14" s="161">
        <f>ROUND(K14,0)*70%*(Financial!W36)/2</f>
        <v>4620</v>
      </c>
      <c r="S14" s="266">
        <f>ROUND(K14,0)*30%*(Financial!W37/2)</f>
        <v>0</v>
      </c>
      <c r="T14" s="161">
        <f t="shared" si="2"/>
        <v>6300</v>
      </c>
      <c r="U14" s="161">
        <f>ROUND(M14,0)*Financial!W36</f>
        <v>29100</v>
      </c>
      <c r="V14" s="161">
        <f>N14*Financial!W37</f>
        <v>0</v>
      </c>
      <c r="W14" s="267">
        <f>ROUND(J14,0)*10%*(Financial!W32*30%)+ROUND(K14,0)*10%*((Financial!W32/2)*30%)</f>
        <v>3282.5484518818994</v>
      </c>
      <c r="X14" s="161">
        <f t="shared" si="3"/>
        <v>133025.53946998715</v>
      </c>
    </row>
    <row r="15" spans="2:44" ht="43.5" customHeight="1" x14ac:dyDescent="0.25">
      <c r="B15" s="115" t="s">
        <v>297</v>
      </c>
      <c r="C15" s="138" t="s">
        <v>465</v>
      </c>
      <c r="D15" s="155" t="s">
        <v>464</v>
      </c>
      <c r="E15" s="148" t="s">
        <v>337</v>
      </c>
      <c r="F15" s="121"/>
      <c r="G15" s="117"/>
      <c r="I15" s="242"/>
      <c r="J15" s="243"/>
      <c r="K15" s="243"/>
      <c r="L15" s="243"/>
      <c r="M15" s="243"/>
      <c r="N15" s="243"/>
      <c r="O15" s="243"/>
      <c r="P15" s="244"/>
      <c r="Q15" s="244"/>
      <c r="R15" s="244"/>
      <c r="S15" s="244"/>
      <c r="T15" s="244"/>
      <c r="U15" s="244"/>
      <c r="V15" s="244"/>
      <c r="W15" s="271" t="s">
        <v>490</v>
      </c>
      <c r="X15" s="271"/>
      <c r="Y15" s="243"/>
      <c r="Z15" s="243"/>
      <c r="AA15" s="188"/>
    </row>
    <row r="16" spans="2:44" ht="53.25" customHeight="1" x14ac:dyDescent="0.25">
      <c r="B16" s="115" t="s">
        <v>298</v>
      </c>
      <c r="C16" s="138" t="s">
        <v>465</v>
      </c>
      <c r="D16" s="155" t="s">
        <v>466</v>
      </c>
      <c r="E16" s="148" t="s">
        <v>337</v>
      </c>
      <c r="F16" s="121"/>
      <c r="G16" s="117"/>
      <c r="H16" s="270" t="s">
        <v>339</v>
      </c>
      <c r="I16" s="270"/>
      <c r="J16" s="270"/>
      <c r="K16" s="270"/>
      <c r="L16" s="270"/>
      <c r="M16" s="270"/>
      <c r="N16" s="270"/>
      <c r="O16" s="270"/>
      <c r="P16" s="270"/>
      <c r="Q16" s="270"/>
      <c r="R16" s="270"/>
      <c r="S16" s="270"/>
      <c r="T16" s="270"/>
      <c r="U16" s="270"/>
      <c r="V16" s="270"/>
      <c r="W16" s="251"/>
      <c r="X16" s="251"/>
      <c r="Y16" s="251"/>
      <c r="Z16" s="251"/>
      <c r="AA16" s="251"/>
      <c r="AB16" s="251"/>
    </row>
    <row r="17" spans="2:28" ht="42" customHeight="1" x14ac:dyDescent="0.25">
      <c r="B17" s="115" t="s">
        <v>299</v>
      </c>
      <c r="C17" s="115">
        <v>2020</v>
      </c>
      <c r="D17" s="155" t="s">
        <v>327</v>
      </c>
      <c r="E17" s="148" t="s">
        <v>337</v>
      </c>
      <c r="F17" s="121"/>
      <c r="G17" s="117"/>
      <c r="H17" s="137" t="s">
        <v>258</v>
      </c>
      <c r="I17" s="153" t="s">
        <v>345</v>
      </c>
      <c r="J17" s="160" t="s">
        <v>348</v>
      </c>
      <c r="K17" s="160"/>
      <c r="L17" s="153" t="s">
        <v>342</v>
      </c>
      <c r="M17" s="153" t="s">
        <v>343</v>
      </c>
      <c r="N17" s="153" t="s">
        <v>344</v>
      </c>
      <c r="O17" s="153" t="s">
        <v>452</v>
      </c>
      <c r="P17" s="153" t="s">
        <v>453</v>
      </c>
      <c r="Q17" s="153" t="s">
        <v>454</v>
      </c>
      <c r="R17" s="153" t="s">
        <v>481</v>
      </c>
      <c r="S17" s="153" t="s">
        <v>462</v>
      </c>
      <c r="T17" s="153" t="s">
        <v>463</v>
      </c>
      <c r="U17" s="153" t="s">
        <v>409</v>
      </c>
      <c r="V17" s="160" t="s">
        <v>349</v>
      </c>
      <c r="W17" s="246"/>
      <c r="X17" s="246"/>
      <c r="Y17" s="2"/>
      <c r="Z17" s="246"/>
      <c r="AA17" s="246"/>
      <c r="AB17" s="2"/>
    </row>
    <row r="18" spans="2:28" ht="49.5" customHeight="1" x14ac:dyDescent="0.25">
      <c r="B18" s="115" t="s">
        <v>324</v>
      </c>
      <c r="C18" s="138" t="s">
        <v>465</v>
      </c>
      <c r="D18" s="155" t="s">
        <v>467</v>
      </c>
      <c r="E18" s="148" t="s">
        <v>337</v>
      </c>
      <c r="F18" s="121"/>
      <c r="G18" s="117"/>
      <c r="H18" s="120">
        <v>2020</v>
      </c>
      <c r="I18" s="121">
        <f>Pipeline!M18</f>
        <v>14.95</v>
      </c>
      <c r="J18" s="198">
        <v>0.4</v>
      </c>
      <c r="K18" s="199">
        <f>+I18*J18</f>
        <v>5.98</v>
      </c>
      <c r="L18" s="199">
        <v>15</v>
      </c>
      <c r="M18" s="199">
        <v>0</v>
      </c>
      <c r="N18" s="189">
        <v>0</v>
      </c>
      <c r="O18" s="161">
        <f>ROUND(L18,0)*Financial!M39</f>
        <v>4500</v>
      </c>
      <c r="P18" s="140">
        <v>0</v>
      </c>
      <c r="Q18" s="140">
        <v>0</v>
      </c>
      <c r="R18" s="161">
        <f>ROUND(I18,0)*10%*150</f>
        <v>225</v>
      </c>
      <c r="S18" s="176">
        <v>0</v>
      </c>
      <c r="T18" s="176">
        <v>0</v>
      </c>
      <c r="U18" s="200">
        <f>SUM(O18:T18)</f>
        <v>4725</v>
      </c>
      <c r="V18" s="176" t="s">
        <v>248</v>
      </c>
      <c r="W18" s="247"/>
      <c r="X18" s="247"/>
      <c r="Y18" s="2"/>
      <c r="Z18" s="248"/>
      <c r="AA18" s="119"/>
    </row>
    <row r="19" spans="2:28" ht="63" customHeight="1" x14ac:dyDescent="0.25">
      <c r="B19" s="115" t="s">
        <v>325</v>
      </c>
      <c r="C19" s="115">
        <v>2020</v>
      </c>
      <c r="D19" s="155" t="s">
        <v>330</v>
      </c>
      <c r="E19" s="148" t="s">
        <v>337</v>
      </c>
      <c r="F19" s="121"/>
      <c r="G19" s="117"/>
      <c r="H19">
        <v>2021</v>
      </c>
      <c r="I19" s="121">
        <f>Pipeline!N18</f>
        <v>33.8675</v>
      </c>
      <c r="J19" s="198">
        <v>0.4</v>
      </c>
      <c r="K19" s="199">
        <f>+I19*J19</f>
        <v>13.547000000000001</v>
      </c>
      <c r="L19" s="199">
        <v>34</v>
      </c>
      <c r="M19" s="199">
        <v>0</v>
      </c>
      <c r="N19" s="189">
        <v>0</v>
      </c>
      <c r="O19" s="161">
        <f>ROUND(L19,0)*Financial!N39</f>
        <v>10200</v>
      </c>
      <c r="P19" s="161">
        <v>0</v>
      </c>
      <c r="Q19" s="161">
        <v>0</v>
      </c>
      <c r="R19" s="161">
        <f t="shared" ref="R19:R29" si="6">ROUND(I19,0)*10%*150</f>
        <v>510.00000000000006</v>
      </c>
      <c r="S19" s="176">
        <v>0</v>
      </c>
      <c r="T19" s="176">
        <v>0</v>
      </c>
      <c r="U19" s="200">
        <f>SUM(O19:T19)</f>
        <v>10710</v>
      </c>
      <c r="V19" s="119"/>
      <c r="W19" s="249"/>
      <c r="X19" s="249"/>
      <c r="Y19" s="248"/>
      <c r="Z19" s="250"/>
      <c r="AA19" s="155"/>
      <c r="AB19" s="148"/>
    </row>
    <row r="20" spans="2:28" ht="45.75" customHeight="1" x14ac:dyDescent="0.25">
      <c r="B20" s="115" t="s">
        <v>326</v>
      </c>
      <c r="C20" s="138" t="s">
        <v>465</v>
      </c>
      <c r="D20" s="155" t="s">
        <v>468</v>
      </c>
      <c r="E20" s="148" t="s">
        <v>337</v>
      </c>
      <c r="F20" s="119"/>
      <c r="G20" s="117"/>
      <c r="H20">
        <v>2022</v>
      </c>
      <c r="I20" s="121">
        <f>Pipeline!O18</f>
        <v>47.285124999999994</v>
      </c>
      <c r="J20" s="198">
        <v>0.4</v>
      </c>
      <c r="K20" s="199">
        <f t="shared" ref="K20:K28" si="7">+I20*J20</f>
        <v>18.91405</v>
      </c>
      <c r="L20" s="199">
        <f>I20*55%</f>
        <v>26.006818749999997</v>
      </c>
      <c r="M20" s="189">
        <f>I20*30%</f>
        <v>14.185537499999997</v>
      </c>
      <c r="N20" s="189">
        <f>I20*15%</f>
        <v>7.0927687499999985</v>
      </c>
      <c r="O20" s="161">
        <f>ROUND(L20,0)*Financial!O39</f>
        <v>7800</v>
      </c>
      <c r="P20" s="203">
        <f>ROUND(M20,0)*Financial!O40</f>
        <v>5600</v>
      </c>
      <c r="Q20" s="161">
        <f>ROUND(N20,0)*Financial!O41</f>
        <v>3500</v>
      </c>
      <c r="R20" s="161">
        <f t="shared" si="6"/>
        <v>705</v>
      </c>
      <c r="S20" s="161">
        <f>40%*Pipeline!N5*Financial!O43</f>
        <v>6231.9650000000011</v>
      </c>
      <c r="T20" s="161">
        <f>30%*Pipeline!N5*Financial!O44</f>
        <v>5608.7685000000001</v>
      </c>
      <c r="U20" s="200">
        <f>SUM(O20:T20)</f>
        <v>29445.733500000002</v>
      </c>
      <c r="V20" s="119"/>
      <c r="W20" s="249"/>
      <c r="X20" s="249"/>
      <c r="Y20" s="248"/>
      <c r="Z20" s="250"/>
      <c r="AA20" s="155"/>
      <c r="AB20" s="148"/>
    </row>
    <row r="21" spans="2:28" ht="30" x14ac:dyDescent="0.25">
      <c r="B21" s="115" t="s">
        <v>328</v>
      </c>
      <c r="C21" s="138"/>
      <c r="D21" s="155" t="s">
        <v>341</v>
      </c>
      <c r="H21">
        <v>2023</v>
      </c>
      <c r="I21" s="121">
        <f>Pipeline!P18</f>
        <v>58.546643749999994</v>
      </c>
      <c r="J21" s="198">
        <v>0.4</v>
      </c>
      <c r="K21" s="199">
        <f t="shared" si="7"/>
        <v>23.418657499999998</v>
      </c>
      <c r="L21" s="199">
        <f t="shared" ref="L21:L28" si="8">I21*55%</f>
        <v>32.2006540625</v>
      </c>
      <c r="M21" s="189">
        <f t="shared" ref="M21:M28" si="9">I21*30%</f>
        <v>17.563993124999996</v>
      </c>
      <c r="N21" s="189">
        <f t="shared" ref="N21:N28" si="10">I21*15%</f>
        <v>8.781996562499998</v>
      </c>
      <c r="O21" s="161">
        <f>ROUND(L21,0)*Financial!P39</f>
        <v>9600</v>
      </c>
      <c r="P21" s="203">
        <f>ROUND(M21,0)*Financial!P40</f>
        <v>7200</v>
      </c>
      <c r="Q21" s="161">
        <f>ROUND(N21,0)*Financial!P41</f>
        <v>4500</v>
      </c>
      <c r="R21" s="161">
        <f t="shared" si="6"/>
        <v>885</v>
      </c>
      <c r="S21" s="245">
        <f>40%*Pipeline!O5*Financial!P43</f>
        <v>8028.799750000001</v>
      </c>
      <c r="T21" s="161">
        <f>30%*Pipeline!O5*Financial!P44</f>
        <v>7225.9197750000003</v>
      </c>
      <c r="U21" s="200">
        <f t="shared" ref="U21:U28" si="11">SUM(O21:T21)</f>
        <v>37439.719525</v>
      </c>
      <c r="V21" s="176"/>
      <c r="W21" s="249"/>
      <c r="X21" s="247"/>
      <c r="Y21" s="248"/>
      <c r="Z21" s="250"/>
      <c r="AA21" s="155"/>
      <c r="AB21" s="148"/>
    </row>
    <row r="22" spans="2:28" ht="30" x14ac:dyDescent="0.25">
      <c r="B22" s="115" t="s">
        <v>329</v>
      </c>
      <c r="C22" s="138"/>
      <c r="D22" s="155" t="s">
        <v>340</v>
      </c>
      <c r="H22">
        <v>2024</v>
      </c>
      <c r="I22" s="121">
        <f>Pipeline!Q18</f>
        <v>69.413015312499994</v>
      </c>
      <c r="J22" s="198">
        <v>0.4</v>
      </c>
      <c r="K22" s="199">
        <f t="shared" si="7"/>
        <v>27.765206124999999</v>
      </c>
      <c r="L22" s="199">
        <f t="shared" si="8"/>
        <v>38.177158421874999</v>
      </c>
      <c r="M22" s="189">
        <f t="shared" si="9"/>
        <v>20.823904593749997</v>
      </c>
      <c r="N22" s="189">
        <f t="shared" si="10"/>
        <v>10.411952296874999</v>
      </c>
      <c r="O22" s="161">
        <f>ROUND(L22,0)*Financial!Q39</f>
        <v>13300</v>
      </c>
      <c r="P22" s="203">
        <f>ROUND(M22,0)*Financial!Q40</f>
        <v>9450</v>
      </c>
      <c r="Q22" s="161">
        <f>ROUND(N22,0)*Financial!Q41</f>
        <v>5500</v>
      </c>
      <c r="R22" s="161">
        <f t="shared" si="6"/>
        <v>1035</v>
      </c>
      <c r="S22" s="161"/>
      <c r="T22" s="161"/>
      <c r="U22" s="200">
        <f t="shared" si="11"/>
        <v>29285</v>
      </c>
      <c r="V22" s="176" t="s">
        <v>248</v>
      </c>
      <c r="W22" s="249"/>
      <c r="X22" s="247"/>
      <c r="Y22" s="248"/>
      <c r="Z22" s="250"/>
      <c r="AA22" s="155"/>
      <c r="AB22" s="148"/>
    </row>
    <row r="23" spans="2:28" ht="30" x14ac:dyDescent="0.25">
      <c r="B23" s="115" t="s">
        <v>331</v>
      </c>
      <c r="C23" s="115"/>
      <c r="D23" s="261" t="s">
        <v>347</v>
      </c>
      <c r="E23" s="262" t="s">
        <v>346</v>
      </c>
      <c r="H23">
        <v>2025</v>
      </c>
      <c r="I23" s="121">
        <f>Pipeline!R18</f>
        <v>80.867155109375005</v>
      </c>
      <c r="J23" s="198">
        <v>0.4</v>
      </c>
      <c r="K23" s="199">
        <f t="shared" si="7"/>
        <v>32.346862043750001</v>
      </c>
      <c r="L23" s="199">
        <f t="shared" si="8"/>
        <v>44.476935310156257</v>
      </c>
      <c r="M23" s="189">
        <f t="shared" si="9"/>
        <v>24.260146532812502</v>
      </c>
      <c r="N23" s="189">
        <f t="shared" si="10"/>
        <v>12.130073266406251</v>
      </c>
      <c r="O23" s="161">
        <f>ROUND(L23,0)*Financial!R39</f>
        <v>15400</v>
      </c>
      <c r="P23" s="203">
        <f>ROUND(M23,0)*Financial!R40</f>
        <v>10800</v>
      </c>
      <c r="Q23" s="161">
        <f>ROUND(N23,0)*Financial!R41</f>
        <v>6600</v>
      </c>
      <c r="R23" s="161">
        <f t="shared" si="6"/>
        <v>1215</v>
      </c>
      <c r="S23" s="161"/>
      <c r="T23" s="161"/>
      <c r="U23" s="200">
        <f t="shared" si="11"/>
        <v>34015</v>
      </c>
      <c r="V23" s="176" t="s">
        <v>248</v>
      </c>
      <c r="W23" s="249"/>
      <c r="X23" s="247"/>
      <c r="Y23" s="248"/>
      <c r="Z23" s="248"/>
      <c r="AA23" s="119"/>
    </row>
    <row r="24" spans="2:28" ht="49.5" customHeight="1" x14ac:dyDescent="0.25">
      <c r="B24" s="115" t="s">
        <v>332</v>
      </c>
      <c r="C24" s="138"/>
      <c r="D24" s="261" t="s">
        <v>449</v>
      </c>
      <c r="E24" s="2"/>
      <c r="H24">
        <v>2026</v>
      </c>
      <c r="I24" s="121">
        <f>Pipeline!S18</f>
        <v>93.518322125781239</v>
      </c>
      <c r="J24" s="198">
        <v>0.4</v>
      </c>
      <c r="K24" s="199">
        <f t="shared" si="7"/>
        <v>37.407328850312496</v>
      </c>
      <c r="L24" s="199">
        <f t="shared" si="8"/>
        <v>51.435077169179685</v>
      </c>
      <c r="M24" s="189">
        <f t="shared" si="9"/>
        <v>28.055496637734372</v>
      </c>
      <c r="N24" s="189">
        <f t="shared" si="10"/>
        <v>14.027748318867186</v>
      </c>
      <c r="O24" s="161">
        <f>ROUND(L24,0)*Financial!S39</f>
        <v>17850</v>
      </c>
      <c r="P24" s="203">
        <f>ROUND(M24,0)*Financial!S40</f>
        <v>12600</v>
      </c>
      <c r="Q24" s="161">
        <f>ROUND(N24,0)*Financial!S41</f>
        <v>7700</v>
      </c>
      <c r="R24" s="161">
        <f t="shared" si="6"/>
        <v>1410</v>
      </c>
      <c r="S24" s="161"/>
      <c r="T24" s="161"/>
      <c r="U24" s="200">
        <f t="shared" si="11"/>
        <v>39560</v>
      </c>
      <c r="V24" s="176" t="s">
        <v>248</v>
      </c>
      <c r="W24" s="249"/>
      <c r="X24" s="247"/>
      <c r="Y24" s="248"/>
      <c r="Z24" s="248"/>
      <c r="AA24" s="119"/>
    </row>
    <row r="25" spans="2:28" ht="45" x14ac:dyDescent="0.25">
      <c r="B25" s="115" t="s">
        <v>333</v>
      </c>
      <c r="C25" s="138" t="s">
        <v>465</v>
      </c>
      <c r="D25" s="181" t="s">
        <v>469</v>
      </c>
      <c r="E25" s="2" t="s">
        <v>491</v>
      </c>
      <c r="H25">
        <v>2027</v>
      </c>
      <c r="I25" s="121">
        <f>Pipeline!T18</f>
        <v>107.80661731964842</v>
      </c>
      <c r="J25" s="198">
        <v>0.4</v>
      </c>
      <c r="K25" s="199">
        <f t="shared" si="7"/>
        <v>43.122646927859371</v>
      </c>
      <c r="L25" s="199">
        <f t="shared" si="8"/>
        <v>59.29363952580664</v>
      </c>
      <c r="M25" s="189">
        <f t="shared" si="9"/>
        <v>32.341985195894523</v>
      </c>
      <c r="N25" s="189">
        <f t="shared" si="10"/>
        <v>16.170992597947262</v>
      </c>
      <c r="O25" s="161">
        <f>ROUND(L25,0)*Financial!T39</f>
        <v>20650</v>
      </c>
      <c r="P25" s="203">
        <f>ROUND(M25,0)*Financial!T40</f>
        <v>14400</v>
      </c>
      <c r="Q25" s="161">
        <f>ROUND(N25,0)*Financial!T41</f>
        <v>8800</v>
      </c>
      <c r="R25" s="161">
        <f t="shared" si="6"/>
        <v>1620</v>
      </c>
      <c r="S25" s="161"/>
      <c r="T25" s="161"/>
      <c r="U25" s="200">
        <f t="shared" si="11"/>
        <v>45470</v>
      </c>
      <c r="V25" s="176" t="s">
        <v>248</v>
      </c>
      <c r="W25" s="249"/>
      <c r="X25" s="247"/>
      <c r="Y25" s="248"/>
      <c r="Z25" s="248"/>
      <c r="AA25" s="119"/>
    </row>
    <row r="26" spans="2:28" ht="30" x14ac:dyDescent="0.25">
      <c r="B26" s="115" t="s">
        <v>334</v>
      </c>
      <c r="C26" s="138"/>
      <c r="D26" s="181" t="s">
        <v>492</v>
      </c>
      <c r="E26" s="263"/>
      <c r="H26">
        <v>2028</v>
      </c>
      <c r="I26" s="121">
        <f>Pipeline!U18</f>
        <v>124.10788335509571</v>
      </c>
      <c r="J26" s="198">
        <v>0.4</v>
      </c>
      <c r="K26" s="199">
        <f t="shared" si="7"/>
        <v>49.643153342038289</v>
      </c>
      <c r="L26" s="199">
        <f t="shared" si="8"/>
        <v>68.259335845302644</v>
      </c>
      <c r="M26" s="189">
        <f t="shared" si="9"/>
        <v>37.23236500652871</v>
      </c>
      <c r="N26" s="189">
        <f t="shared" si="10"/>
        <v>18.616182503264355</v>
      </c>
      <c r="O26" s="161">
        <f>ROUND(L26,0)*Financial!U39</f>
        <v>27200</v>
      </c>
      <c r="P26" s="203">
        <f>ROUND(M26,0)*Financial!U40</f>
        <v>18500</v>
      </c>
      <c r="Q26" s="161">
        <f>ROUND(N26,0)*Financial!U41</f>
        <v>11400</v>
      </c>
      <c r="R26" s="161">
        <f t="shared" si="6"/>
        <v>1860</v>
      </c>
      <c r="S26" s="161"/>
      <c r="T26" s="161"/>
      <c r="U26" s="200">
        <f t="shared" si="11"/>
        <v>58960</v>
      </c>
      <c r="V26" s="176" t="s">
        <v>248</v>
      </c>
      <c r="W26" s="249"/>
      <c r="X26" s="247"/>
      <c r="Y26" s="248"/>
      <c r="Z26" s="248"/>
      <c r="AA26" s="119"/>
    </row>
    <row r="27" spans="2:28" ht="30" x14ac:dyDescent="0.25">
      <c r="B27" s="115" t="s">
        <v>422</v>
      </c>
      <c r="D27" s="261" t="s">
        <v>480</v>
      </c>
      <c r="E27" t="s">
        <v>483</v>
      </c>
      <c r="H27">
        <v>2029</v>
      </c>
      <c r="I27" s="121">
        <f>Pipeline!V18</f>
        <v>142.78920257711007</v>
      </c>
      <c r="J27" s="198">
        <v>0.4</v>
      </c>
      <c r="K27" s="199">
        <f t="shared" si="7"/>
        <v>57.11568103084403</v>
      </c>
      <c r="L27" s="199">
        <f t="shared" si="8"/>
        <v>78.534061417410541</v>
      </c>
      <c r="M27" s="189">
        <f t="shared" si="9"/>
        <v>42.836760773133022</v>
      </c>
      <c r="N27" s="189">
        <f t="shared" si="10"/>
        <v>21.418380386566511</v>
      </c>
      <c r="O27" s="161">
        <f>ROUND(L27,0)*Financial!V39</f>
        <v>31600</v>
      </c>
      <c r="P27" s="203">
        <f>ROUND(M27,0)*Financial!V40</f>
        <v>21500</v>
      </c>
      <c r="Q27" s="161">
        <f>ROUND(N27,0)*Financial!V41</f>
        <v>12600</v>
      </c>
      <c r="R27" s="161">
        <f t="shared" si="6"/>
        <v>2145</v>
      </c>
      <c r="S27" s="161"/>
      <c r="T27" s="161"/>
      <c r="U27" s="200">
        <f t="shared" si="11"/>
        <v>67845</v>
      </c>
      <c r="V27" s="176" t="s">
        <v>248</v>
      </c>
      <c r="W27" s="249"/>
      <c r="X27" s="247"/>
      <c r="Y27" s="248"/>
      <c r="Z27" s="248"/>
      <c r="AA27" s="119"/>
    </row>
    <row r="28" spans="2:28" ht="45" x14ac:dyDescent="0.25">
      <c r="B28" s="115" t="s">
        <v>423</v>
      </c>
      <c r="D28" s="261" t="s">
        <v>482</v>
      </c>
      <c r="E28" s="162" t="s">
        <v>493</v>
      </c>
      <c r="H28">
        <v>2030</v>
      </c>
      <c r="I28" s="121">
        <f>Pipeline!W18</f>
        <v>164.24015132305158</v>
      </c>
      <c r="J28" s="198">
        <v>0.4</v>
      </c>
      <c r="K28" s="199">
        <f t="shared" si="7"/>
        <v>65.696060529220631</v>
      </c>
      <c r="L28" s="199">
        <f t="shared" si="8"/>
        <v>90.332083227678382</v>
      </c>
      <c r="M28" s="189">
        <f t="shared" si="9"/>
        <v>49.272045396915473</v>
      </c>
      <c r="N28" s="189">
        <f t="shared" si="10"/>
        <v>24.636022698457737</v>
      </c>
      <c r="O28" s="161">
        <f>ROUND(L28,0)*Financial!W39</f>
        <v>36000</v>
      </c>
      <c r="P28" s="203">
        <f>ROUND(M28,0)*Financial!W40</f>
        <v>24500</v>
      </c>
      <c r="Q28" s="161">
        <f>ROUND(N28,0)*Financial!W41</f>
        <v>15000</v>
      </c>
      <c r="R28" s="161">
        <f t="shared" si="6"/>
        <v>2460.0000000000005</v>
      </c>
      <c r="S28" s="161"/>
      <c r="T28" s="161"/>
      <c r="U28" s="200">
        <f t="shared" si="11"/>
        <v>77960</v>
      </c>
      <c r="V28" s="176" t="s">
        <v>248</v>
      </c>
      <c r="W28" s="249"/>
      <c r="X28" s="247"/>
      <c r="Y28" s="248"/>
      <c r="Z28" s="248"/>
      <c r="AA28" s="119"/>
    </row>
    <row r="29" spans="2:28" ht="180" x14ac:dyDescent="0.25">
      <c r="B29" s="115" t="s">
        <v>424</v>
      </c>
      <c r="C29" s="138">
        <v>2020</v>
      </c>
      <c r="D29" s="259" t="s">
        <v>386</v>
      </c>
      <c r="E29" s="170" t="s">
        <v>389</v>
      </c>
      <c r="I29" s="121"/>
      <c r="R29" s="161">
        <f t="shared" si="6"/>
        <v>0</v>
      </c>
      <c r="S29" s="161"/>
      <c r="T29" s="161"/>
      <c r="U29" s="161"/>
      <c r="Z29" s="119"/>
    </row>
    <row r="30" spans="2:28" x14ac:dyDescent="0.25">
      <c r="B30" s="115" t="s">
        <v>425</v>
      </c>
      <c r="C30" s="138" t="s">
        <v>387</v>
      </c>
      <c r="D30" s="259" t="s">
        <v>386</v>
      </c>
      <c r="E30" s="3" t="s">
        <v>390</v>
      </c>
      <c r="Z30" s="119"/>
    </row>
    <row r="31" spans="2:28" x14ac:dyDescent="0.25">
      <c r="B31" s="115" t="s">
        <v>426</v>
      </c>
      <c r="C31" s="138" t="s">
        <v>370</v>
      </c>
      <c r="D31" s="259" t="s">
        <v>386</v>
      </c>
      <c r="E31" s="3" t="s">
        <v>391</v>
      </c>
      <c r="Z31" s="119"/>
    </row>
    <row r="32" spans="2:28" ht="64.5" customHeight="1" x14ac:dyDescent="0.25">
      <c r="B32" s="115" t="s">
        <v>427</v>
      </c>
      <c r="C32" s="138" t="s">
        <v>323</v>
      </c>
      <c r="D32" s="260" t="s">
        <v>373</v>
      </c>
      <c r="E32" s="253" t="s">
        <v>388</v>
      </c>
      <c r="F32" t="s">
        <v>478</v>
      </c>
      <c r="Z32" s="119"/>
    </row>
    <row r="33" spans="2:26" x14ac:dyDescent="0.25">
      <c r="B33" s="115" t="s">
        <v>428</v>
      </c>
      <c r="C33" s="138" t="s">
        <v>384</v>
      </c>
      <c r="D33" s="257" t="s">
        <v>411</v>
      </c>
      <c r="E33" s="258" t="s">
        <v>479</v>
      </c>
      <c r="Z33" s="119"/>
    </row>
    <row r="34" spans="2:26" ht="60" x14ac:dyDescent="0.25">
      <c r="B34" s="115" t="s">
        <v>429</v>
      </c>
      <c r="C34" s="138" t="s">
        <v>350</v>
      </c>
      <c r="D34" s="163" t="s">
        <v>354</v>
      </c>
      <c r="E34" s="162" t="s">
        <v>355</v>
      </c>
      <c r="Z34" s="119"/>
    </row>
    <row r="35" spans="2:26" ht="90" x14ac:dyDescent="0.25">
      <c r="B35" s="115" t="s">
        <v>430</v>
      </c>
      <c r="C35" s="138" t="s">
        <v>350</v>
      </c>
      <c r="D35" s="163" t="s">
        <v>357</v>
      </c>
      <c r="E35" s="162" t="s">
        <v>356</v>
      </c>
    </row>
    <row r="36" spans="2:26" ht="75" x14ac:dyDescent="0.25">
      <c r="B36" s="115" t="s">
        <v>431</v>
      </c>
      <c r="C36" s="138" t="s">
        <v>350</v>
      </c>
      <c r="D36" s="164" t="s">
        <v>353</v>
      </c>
      <c r="E36" s="162" t="s">
        <v>362</v>
      </c>
    </row>
    <row r="37" spans="2:26" x14ac:dyDescent="0.25">
      <c r="B37" s="115" t="s">
        <v>432</v>
      </c>
      <c r="C37" s="138" t="s">
        <v>350</v>
      </c>
      <c r="D37" s="163" t="s">
        <v>358</v>
      </c>
      <c r="E37" s="162" t="s">
        <v>359</v>
      </c>
      <c r="F37" t="s">
        <v>360</v>
      </c>
    </row>
    <row r="38" spans="2:26" ht="105" x14ac:dyDescent="0.25">
      <c r="B38" s="115" t="s">
        <v>433</v>
      </c>
      <c r="C38" s="138" t="s">
        <v>323</v>
      </c>
      <c r="D38" s="163" t="s">
        <v>363</v>
      </c>
      <c r="E38" s="162" t="s">
        <v>364</v>
      </c>
    </row>
    <row r="39" spans="2:26" ht="60" x14ac:dyDescent="0.25">
      <c r="B39" s="115" t="s">
        <v>434</v>
      </c>
      <c r="C39" s="138" t="s">
        <v>365</v>
      </c>
      <c r="D39" s="163" t="s">
        <v>363</v>
      </c>
      <c r="E39" s="162" t="s">
        <v>366</v>
      </c>
    </row>
    <row r="40" spans="2:26" ht="135" x14ac:dyDescent="0.25">
      <c r="B40" s="115" t="s">
        <v>435</v>
      </c>
      <c r="C40" s="115" t="s">
        <v>369</v>
      </c>
      <c r="D40" s="163" t="s">
        <v>367</v>
      </c>
      <c r="E40" s="162" t="s">
        <v>368</v>
      </c>
    </row>
    <row r="41" spans="2:26" ht="60" x14ac:dyDescent="0.25">
      <c r="B41" s="115" t="s">
        <v>436</v>
      </c>
      <c r="C41" s="115" t="s">
        <v>396</v>
      </c>
      <c r="D41" s="163" t="s">
        <v>367</v>
      </c>
      <c r="E41" s="177" t="s">
        <v>371</v>
      </c>
      <c r="F41" t="s">
        <v>410</v>
      </c>
    </row>
    <row r="42" spans="2:26" ht="60" x14ac:dyDescent="0.25">
      <c r="B42" s="115" t="s">
        <v>437</v>
      </c>
      <c r="C42" s="115" t="s">
        <v>397</v>
      </c>
      <c r="D42" s="163" t="s">
        <v>367</v>
      </c>
      <c r="E42" s="177" t="s">
        <v>372</v>
      </c>
    </row>
    <row r="43" spans="2:26" ht="165" x14ac:dyDescent="0.25">
      <c r="B43" s="115" t="s">
        <v>438</v>
      </c>
      <c r="C43" s="115">
        <v>2020</v>
      </c>
      <c r="D43" s="163" t="s">
        <v>375</v>
      </c>
      <c r="E43" s="169" t="s">
        <v>374</v>
      </c>
    </row>
    <row r="44" spans="2:26" x14ac:dyDescent="0.25">
      <c r="B44" s="115" t="s">
        <v>439</v>
      </c>
      <c r="C44" s="115" t="s">
        <v>323</v>
      </c>
      <c r="D44" s="163" t="s">
        <v>375</v>
      </c>
      <c r="E44" s="169" t="s">
        <v>378</v>
      </c>
    </row>
    <row r="45" spans="2:26" ht="30" x14ac:dyDescent="0.25">
      <c r="B45" s="115" t="s">
        <v>440</v>
      </c>
      <c r="C45" s="115" t="s">
        <v>376</v>
      </c>
      <c r="D45" s="163" t="s">
        <v>377</v>
      </c>
      <c r="E45" s="169" t="s">
        <v>379</v>
      </c>
      <c r="F45" s="253"/>
    </row>
    <row r="46" spans="2:26" ht="30" x14ac:dyDescent="0.25">
      <c r="B46" s="115" t="s">
        <v>441</v>
      </c>
      <c r="C46" s="115" t="s">
        <v>370</v>
      </c>
      <c r="D46" s="163" t="s">
        <v>381</v>
      </c>
      <c r="E46" s="169" t="s">
        <v>380</v>
      </c>
      <c r="F46" s="2"/>
    </row>
    <row r="47" spans="2:26" ht="30" x14ac:dyDescent="0.25">
      <c r="B47" s="115" t="s">
        <v>442</v>
      </c>
      <c r="C47" s="115">
        <v>2020</v>
      </c>
      <c r="D47" s="163" t="s">
        <v>382</v>
      </c>
      <c r="E47" s="170" t="s">
        <v>383</v>
      </c>
    </row>
    <row r="48" spans="2:26" x14ac:dyDescent="0.25">
      <c r="B48" s="115" t="s">
        <v>443</v>
      </c>
      <c r="C48" s="115" t="s">
        <v>384</v>
      </c>
      <c r="D48" s="163" t="s">
        <v>382</v>
      </c>
      <c r="E48" s="169" t="s">
        <v>385</v>
      </c>
    </row>
    <row r="49" spans="2:5" ht="30" x14ac:dyDescent="0.25">
      <c r="B49" s="115" t="s">
        <v>444</v>
      </c>
      <c r="C49" s="115" t="s">
        <v>376</v>
      </c>
      <c r="D49" s="163" t="s">
        <v>420</v>
      </c>
      <c r="E49" s="256" t="s">
        <v>445</v>
      </c>
    </row>
    <row r="50" spans="2:5" x14ac:dyDescent="0.25">
      <c r="B50" s="115" t="s">
        <v>446</v>
      </c>
      <c r="C50" s="115" t="s">
        <v>370</v>
      </c>
      <c r="D50" s="163" t="s">
        <v>420</v>
      </c>
      <c r="E50" s="256" t="s">
        <v>421</v>
      </c>
    </row>
    <row r="51" spans="2:5" x14ac:dyDescent="0.25">
      <c r="B51" s="115"/>
    </row>
    <row r="52" spans="2:5" x14ac:dyDescent="0.25">
      <c r="B52" s="115"/>
    </row>
    <row r="53" spans="2:5" x14ac:dyDescent="0.25">
      <c r="B53" s="115"/>
    </row>
  </sheetData>
  <sheetProtection algorithmName="SHA-512" hashValue="AYl/9aTpgkh6A7x9YrK2SLE62m5PllPSmCFZ4uaQg73xALW5lKg8B7vo677wcoXmYC5Q4fmmAj2ZSFTHotf8zg==" saltValue="6hFtR5DkFntQ226xbzWx4w==" spinCount="100000" sheet="1" objects="1" scenarios="1"/>
  <mergeCells count="4">
    <mergeCell ref="B2:F2"/>
    <mergeCell ref="H16:V16"/>
    <mergeCell ref="H2:W2"/>
    <mergeCell ref="W15:X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5"/>
  <sheetViews>
    <sheetView topLeftCell="J31" zoomScale="87" zoomScaleNormal="87" workbookViewId="0">
      <selection activeCell="L44" sqref="L44"/>
    </sheetView>
  </sheetViews>
  <sheetFormatPr defaultRowHeight="15" x14ac:dyDescent="0.25"/>
  <cols>
    <col min="1" max="1" width="1.140625" style="2" customWidth="1"/>
    <col min="2" max="2" width="6.42578125" customWidth="1"/>
    <col min="3" max="3" width="19.85546875" customWidth="1"/>
    <col min="4" max="4" width="23.85546875" customWidth="1"/>
    <col min="5" max="5" width="46.140625" customWidth="1"/>
    <col min="6" max="6" width="16.42578125" customWidth="1"/>
    <col min="7" max="7" width="17.140625" customWidth="1"/>
    <col min="8" max="8" width="16.28515625" customWidth="1"/>
    <col min="9" max="9" width="16.42578125" customWidth="1"/>
    <col min="10" max="11" width="17.28515625" customWidth="1"/>
    <col min="12" max="12" width="16.7109375" customWidth="1"/>
    <col min="13" max="13" width="14" customWidth="1"/>
    <col min="14" max="14" width="14.140625" customWidth="1"/>
    <col min="15" max="15" width="13.42578125" customWidth="1"/>
    <col min="16" max="16" width="14.28515625" customWidth="1"/>
    <col min="17" max="17" width="13.85546875" customWidth="1"/>
    <col min="18" max="18" width="14.28515625" customWidth="1"/>
    <col min="19" max="19" width="13.7109375" customWidth="1"/>
    <col min="20" max="20" width="15.140625" customWidth="1"/>
    <col min="21" max="21" width="13.5703125" customWidth="1"/>
    <col min="22" max="22" width="13.42578125" customWidth="1"/>
    <col min="23" max="23" width="14" customWidth="1"/>
  </cols>
  <sheetData>
    <row r="1" spans="1:23" ht="6" customHeight="1" x14ac:dyDescent="0.25">
      <c r="B1" s="1"/>
      <c r="C1" s="1"/>
      <c r="D1" s="1"/>
      <c r="E1" s="1"/>
      <c r="F1" s="1"/>
      <c r="G1" s="1"/>
      <c r="H1" s="1"/>
      <c r="I1" s="1"/>
      <c r="J1" s="1"/>
      <c r="K1" s="1"/>
      <c r="L1" s="1"/>
      <c r="M1" s="1"/>
      <c r="N1" s="1"/>
      <c r="O1" s="1"/>
      <c r="P1" s="1"/>
      <c r="Q1" s="1"/>
      <c r="R1" s="1"/>
    </row>
    <row r="2" spans="1:23" ht="39.950000000000003" customHeight="1" x14ac:dyDescent="0.25">
      <c r="A2" s="3"/>
      <c r="B2" s="272" t="s">
        <v>3</v>
      </c>
      <c r="C2" s="273"/>
      <c r="D2" s="273"/>
      <c r="E2" s="273"/>
      <c r="F2" s="273"/>
      <c r="G2" s="273"/>
      <c r="H2" s="273"/>
      <c r="I2" s="273"/>
      <c r="J2" s="273"/>
      <c r="K2" s="273"/>
      <c r="L2" s="273"/>
      <c r="M2" s="273"/>
      <c r="N2" s="273"/>
      <c r="O2" s="273"/>
      <c r="P2" s="273"/>
      <c r="Q2" s="273"/>
      <c r="R2" s="273"/>
      <c r="S2" s="273"/>
      <c r="T2" s="273"/>
      <c r="U2" s="273"/>
      <c r="V2" s="273"/>
      <c r="W2" s="273"/>
    </row>
    <row r="3" spans="1:23" ht="39.950000000000003" customHeight="1" x14ac:dyDescent="0.25">
      <c r="A3" s="3"/>
      <c r="B3" s="277" t="s">
        <v>0</v>
      </c>
      <c r="C3" s="293" t="s">
        <v>2</v>
      </c>
      <c r="D3" s="296" t="s">
        <v>4</v>
      </c>
      <c r="E3" s="296" t="s">
        <v>23</v>
      </c>
      <c r="F3" s="290" t="s">
        <v>80</v>
      </c>
      <c r="G3" s="291"/>
      <c r="H3" s="291"/>
      <c r="I3" s="291"/>
      <c r="J3" s="291"/>
      <c r="K3" s="291"/>
      <c r="L3" s="292"/>
      <c r="M3" s="274" t="s">
        <v>96</v>
      </c>
      <c r="N3" s="275"/>
      <c r="O3" s="275"/>
      <c r="P3" s="275"/>
      <c r="Q3" s="275"/>
      <c r="R3" s="275"/>
      <c r="S3" s="275"/>
      <c r="T3" s="275"/>
      <c r="U3" s="275"/>
      <c r="V3" s="275"/>
      <c r="W3" s="275"/>
    </row>
    <row r="4" spans="1:23" ht="27" customHeight="1" x14ac:dyDescent="0.25">
      <c r="A4" s="3"/>
      <c r="B4" s="278"/>
      <c r="C4" s="294"/>
      <c r="D4" s="297"/>
      <c r="E4" s="297"/>
      <c r="F4" s="301" t="s">
        <v>174</v>
      </c>
      <c r="G4" s="302"/>
      <c r="H4" s="302"/>
      <c r="I4" s="103"/>
      <c r="J4" s="103"/>
      <c r="K4" s="103"/>
      <c r="L4" s="104"/>
      <c r="M4" s="274"/>
      <c r="N4" s="275"/>
      <c r="O4" s="275"/>
      <c r="P4" s="275"/>
      <c r="Q4" s="275"/>
      <c r="R4" s="275"/>
      <c r="S4" s="275"/>
      <c r="T4" s="275"/>
      <c r="U4" s="275"/>
      <c r="V4" s="275"/>
      <c r="W4" s="275"/>
    </row>
    <row r="5" spans="1:23" ht="21" customHeight="1" x14ac:dyDescent="0.25">
      <c r="A5" s="3"/>
      <c r="B5" s="278"/>
      <c r="C5" s="294"/>
      <c r="D5" s="297"/>
      <c r="E5" s="297"/>
      <c r="F5" s="149"/>
      <c r="G5" s="306" t="s">
        <v>173</v>
      </c>
      <c r="H5" s="306"/>
      <c r="I5" s="306"/>
      <c r="J5" s="306"/>
      <c r="K5" s="291"/>
      <c r="L5" s="292"/>
      <c r="M5" s="274"/>
      <c r="N5" s="275"/>
      <c r="O5" s="275"/>
      <c r="P5" s="275"/>
      <c r="Q5" s="275"/>
      <c r="R5" s="275"/>
      <c r="S5" s="275"/>
      <c r="T5" s="275"/>
      <c r="U5" s="275"/>
      <c r="V5" s="275"/>
      <c r="W5" s="275"/>
    </row>
    <row r="6" spans="1:23" ht="21" customHeight="1" x14ac:dyDescent="0.25">
      <c r="A6" s="3"/>
      <c r="B6" s="278"/>
      <c r="C6" s="294"/>
      <c r="D6" s="297"/>
      <c r="E6" s="297"/>
      <c r="F6" s="150"/>
      <c r="G6" s="151"/>
      <c r="H6" s="152"/>
      <c r="I6" s="276" t="s">
        <v>175</v>
      </c>
      <c r="J6" s="276"/>
      <c r="K6" s="276"/>
      <c r="L6" s="276"/>
      <c r="M6" s="276"/>
      <c r="N6" s="276"/>
      <c r="O6" s="276"/>
      <c r="P6" s="276"/>
      <c r="Q6" s="276"/>
      <c r="R6" s="276"/>
      <c r="S6" s="276"/>
      <c r="T6" s="276"/>
      <c r="U6" s="276"/>
      <c r="V6" s="276"/>
      <c r="W6" s="276"/>
    </row>
    <row r="7" spans="1:23" ht="30" customHeight="1" x14ac:dyDescent="0.25">
      <c r="A7" s="3"/>
      <c r="B7" s="278"/>
      <c r="C7" s="295"/>
      <c r="D7" s="298"/>
      <c r="E7" s="298"/>
      <c r="F7" s="144" t="s">
        <v>8</v>
      </c>
      <c r="G7" s="146" t="s">
        <v>9</v>
      </c>
      <c r="H7" s="145" t="s">
        <v>10</v>
      </c>
      <c r="I7" s="7" t="s">
        <v>11</v>
      </c>
      <c r="J7" s="7" t="s">
        <v>12</v>
      </c>
      <c r="K7" s="7" t="s">
        <v>13</v>
      </c>
      <c r="L7" s="7" t="s">
        <v>14</v>
      </c>
      <c r="M7" s="7" t="s">
        <v>15</v>
      </c>
      <c r="N7" s="7" t="s">
        <v>17</v>
      </c>
      <c r="O7" s="7" t="s">
        <v>18</v>
      </c>
      <c r="P7" s="7" t="s">
        <v>19</v>
      </c>
      <c r="Q7" s="7" t="s">
        <v>105</v>
      </c>
      <c r="R7" s="7" t="s">
        <v>106</v>
      </c>
      <c r="S7" s="7" t="s">
        <v>233</v>
      </c>
      <c r="T7" s="7" t="s">
        <v>234</v>
      </c>
      <c r="U7" s="7" t="s">
        <v>235</v>
      </c>
      <c r="V7" s="7" t="s">
        <v>236</v>
      </c>
      <c r="W7" s="7" t="s">
        <v>237</v>
      </c>
    </row>
    <row r="8" spans="1:23" ht="30" customHeight="1" x14ac:dyDescent="0.25">
      <c r="A8" s="3"/>
      <c r="B8" s="278"/>
      <c r="C8" s="287" t="s">
        <v>5</v>
      </c>
      <c r="D8" s="286" t="s">
        <v>16</v>
      </c>
      <c r="E8" s="5" t="s">
        <v>7</v>
      </c>
      <c r="F8" s="78">
        <v>125275</v>
      </c>
      <c r="G8" s="78">
        <v>133392</v>
      </c>
      <c r="H8" s="78">
        <v>146362</v>
      </c>
      <c r="I8" s="78">
        <v>217456</v>
      </c>
      <c r="J8" s="78">
        <v>221664</v>
      </c>
      <c r="K8" s="78">
        <v>260001</v>
      </c>
      <c r="L8" s="80">
        <v>241169</v>
      </c>
      <c r="M8" s="81">
        <v>194025</v>
      </c>
      <c r="N8" s="56"/>
      <c r="O8" s="56"/>
      <c r="P8" s="56"/>
      <c r="Q8" s="56"/>
      <c r="R8" s="57"/>
      <c r="S8" s="56"/>
      <c r="T8" s="56"/>
      <c r="U8" s="56"/>
      <c r="V8" s="57"/>
      <c r="W8" s="57"/>
    </row>
    <row r="9" spans="1:23" ht="30" customHeight="1" x14ac:dyDescent="0.25">
      <c r="A9" s="3"/>
      <c r="B9" s="278"/>
      <c r="C9" s="287"/>
      <c r="D9" s="286"/>
      <c r="E9" s="5" t="s">
        <v>302</v>
      </c>
      <c r="F9" s="78">
        <v>106093</v>
      </c>
      <c r="G9" s="78">
        <v>157689</v>
      </c>
      <c r="H9" s="78">
        <v>154319</v>
      </c>
      <c r="I9" s="78">
        <v>195978</v>
      </c>
      <c r="J9" s="78">
        <v>189508</v>
      </c>
      <c r="K9" s="78">
        <v>258089</v>
      </c>
      <c r="L9" s="80">
        <v>217048</v>
      </c>
      <c r="M9" s="81"/>
      <c r="N9" s="56"/>
      <c r="O9" s="56"/>
      <c r="P9" s="56"/>
      <c r="Q9" s="56"/>
      <c r="R9" s="57"/>
      <c r="S9" s="56"/>
      <c r="T9" s="56"/>
      <c r="U9" s="56"/>
      <c r="V9" s="57"/>
      <c r="W9" s="57"/>
    </row>
    <row r="10" spans="1:23" ht="30" customHeight="1" x14ac:dyDescent="0.25">
      <c r="A10" s="3"/>
      <c r="B10" s="278"/>
      <c r="C10" s="287"/>
      <c r="D10" s="286"/>
      <c r="E10" s="5" t="s">
        <v>28</v>
      </c>
      <c r="F10" s="230">
        <f t="shared" ref="F10:L10" si="0">F8-F9</f>
        <v>19182</v>
      </c>
      <c r="G10" s="231">
        <f t="shared" si="0"/>
        <v>-24297</v>
      </c>
      <c r="H10" s="232">
        <f t="shared" si="0"/>
        <v>-7957</v>
      </c>
      <c r="I10" s="230">
        <f t="shared" si="0"/>
        <v>21478</v>
      </c>
      <c r="J10" s="230">
        <f t="shared" si="0"/>
        <v>32156</v>
      </c>
      <c r="K10" s="230">
        <f t="shared" si="0"/>
        <v>1912</v>
      </c>
      <c r="L10" s="67">
        <f t="shared" si="0"/>
        <v>24121</v>
      </c>
      <c r="M10" s="56"/>
      <c r="N10" s="56"/>
      <c r="O10" s="56"/>
      <c r="P10" s="56"/>
      <c r="Q10" s="56"/>
      <c r="R10" s="57"/>
      <c r="S10" s="56"/>
      <c r="T10" s="56"/>
      <c r="U10" s="56"/>
      <c r="V10" s="57"/>
      <c r="W10" s="57"/>
    </row>
    <row r="11" spans="1:23" ht="30" customHeight="1" x14ac:dyDescent="0.25">
      <c r="A11" s="3"/>
      <c r="B11" s="278"/>
      <c r="C11" s="287"/>
      <c r="D11" s="286"/>
      <c r="E11" s="5" t="s">
        <v>26</v>
      </c>
      <c r="F11" s="233">
        <f t="shared" ref="F11:L11" si="1">F9/F8</f>
        <v>0.84688086210337254</v>
      </c>
      <c r="G11" s="234">
        <f t="shared" si="1"/>
        <v>1.182147355163728</v>
      </c>
      <c r="H11" s="234">
        <f t="shared" si="1"/>
        <v>1.0543652040830269</v>
      </c>
      <c r="I11" s="233">
        <f t="shared" si="1"/>
        <v>0.90123059377529247</v>
      </c>
      <c r="J11" s="233">
        <f t="shared" si="1"/>
        <v>0.85493359318608342</v>
      </c>
      <c r="K11" s="233">
        <f t="shared" si="1"/>
        <v>0.99264618213006872</v>
      </c>
      <c r="L11" s="68">
        <f t="shared" si="1"/>
        <v>0.89998299947339833</v>
      </c>
      <c r="M11" s="50"/>
      <c r="N11" s="50"/>
      <c r="O11" s="50"/>
      <c r="P11" s="50"/>
      <c r="Q11" s="50"/>
      <c r="R11" s="51"/>
      <c r="S11" s="56"/>
      <c r="T11" s="56"/>
      <c r="U11" s="56"/>
      <c r="V11" s="57"/>
      <c r="W11" s="57"/>
    </row>
    <row r="12" spans="1:23" ht="30" customHeight="1" x14ac:dyDescent="0.25">
      <c r="A12" s="3"/>
      <c r="B12" s="278"/>
      <c r="C12" s="303" t="s">
        <v>20</v>
      </c>
      <c r="D12" s="279" t="s">
        <v>21</v>
      </c>
      <c r="E12" s="11" t="s">
        <v>176</v>
      </c>
      <c r="F12" s="216">
        <v>600</v>
      </c>
      <c r="G12" s="216">
        <v>1500</v>
      </c>
      <c r="H12" s="216">
        <v>8181</v>
      </c>
      <c r="I12" s="216">
        <v>11706</v>
      </c>
      <c r="J12" s="216">
        <v>13448</v>
      </c>
      <c r="K12" s="216">
        <v>11116</v>
      </c>
      <c r="L12" s="217">
        <v>35510</v>
      </c>
      <c r="M12" s="81">
        <f>'Budget Projections'!C17</f>
        <v>25396.785</v>
      </c>
      <c r="N12" s="81">
        <f>'Budget Projections'!D17</f>
        <v>35386.36825</v>
      </c>
      <c r="O12" s="81">
        <f>'Budget Projections'!E17</f>
        <v>64019.838749999995</v>
      </c>
      <c r="P12" s="81">
        <f>'Budget Projections'!F17</f>
        <v>84613.465125000002</v>
      </c>
      <c r="Q12" s="81">
        <f>'Budget Projections'!G17</f>
        <v>84755.03575687499</v>
      </c>
      <c r="R12" s="81">
        <f>'Budget Projections'!H17</f>
        <v>105120.61745771875</v>
      </c>
      <c r="S12" s="81">
        <f>'Budget Projections'!I17</f>
        <v>123009.78572738748</v>
      </c>
      <c r="T12" s="81">
        <f>'Budget Projections'!J17</f>
        <v>143319.25135171195</v>
      </c>
      <c r="U12" s="81">
        <f>'Budget Projections'!K17</f>
        <v>173700.81518091809</v>
      </c>
      <c r="V12" s="81">
        <f>'Budget Projections'!L17</f>
        <v>202750.09898465883</v>
      </c>
      <c r="W12" s="81">
        <f>'Budget Projections'!M17</f>
        <v>239478.08792186907</v>
      </c>
    </row>
    <row r="13" spans="1:23" ht="30" customHeight="1" x14ac:dyDescent="0.25">
      <c r="A13" s="3"/>
      <c r="B13" s="278"/>
      <c r="C13" s="304"/>
      <c r="D13" s="280"/>
      <c r="E13" s="11" t="s">
        <v>336</v>
      </c>
      <c r="F13" s="216" t="s">
        <v>248</v>
      </c>
      <c r="G13" s="216" t="s">
        <v>248</v>
      </c>
      <c r="H13" s="216" t="s">
        <v>248</v>
      </c>
      <c r="I13" s="216" t="s">
        <v>248</v>
      </c>
      <c r="J13" s="216" t="s">
        <v>248</v>
      </c>
      <c r="K13" s="216" t="s">
        <v>248</v>
      </c>
      <c r="L13" s="217">
        <v>25508</v>
      </c>
      <c r="M13" s="81">
        <v>9196</v>
      </c>
      <c r="N13" s="56">
        <v>6000</v>
      </c>
      <c r="O13" s="56">
        <v>6000</v>
      </c>
      <c r="P13" s="56">
        <v>6000</v>
      </c>
      <c r="Q13" s="56">
        <v>6000</v>
      </c>
      <c r="R13" s="57">
        <v>12000</v>
      </c>
      <c r="S13" s="57">
        <v>12000</v>
      </c>
      <c r="T13" s="57">
        <v>12000</v>
      </c>
      <c r="U13" s="57">
        <v>12000</v>
      </c>
      <c r="V13" s="57">
        <v>12000</v>
      </c>
      <c r="W13" s="57">
        <v>12000</v>
      </c>
    </row>
    <row r="14" spans="1:23" ht="30" customHeight="1" x14ac:dyDescent="0.25">
      <c r="A14" s="3"/>
      <c r="B14" s="278"/>
      <c r="C14" s="304"/>
      <c r="D14" s="280"/>
      <c r="E14" s="11" t="s">
        <v>392</v>
      </c>
      <c r="F14" s="216">
        <v>600</v>
      </c>
      <c r="G14" s="216">
        <v>1500</v>
      </c>
      <c r="H14" s="216">
        <v>600</v>
      </c>
      <c r="I14" s="216">
        <v>1950</v>
      </c>
      <c r="J14" s="216">
        <v>1500</v>
      </c>
      <c r="K14" s="216">
        <v>450</v>
      </c>
      <c r="L14" s="217">
        <v>600</v>
      </c>
      <c r="M14" s="81">
        <f>Pipeline!M34*150</f>
        <v>300</v>
      </c>
      <c r="N14" s="81">
        <f>Pipeline!N34*150</f>
        <v>600</v>
      </c>
      <c r="O14" s="81">
        <f>Pipeline!O34*150</f>
        <v>1500</v>
      </c>
      <c r="P14" s="81">
        <f>Pipeline!P34*150</f>
        <v>1800</v>
      </c>
      <c r="Q14" s="81">
        <f>Pipeline!Q34*150</f>
        <v>1950</v>
      </c>
      <c r="R14" s="81">
        <f>Pipeline!R34*150</f>
        <v>1350</v>
      </c>
      <c r="S14" s="81">
        <f>Pipeline!S34*150</f>
        <v>900</v>
      </c>
      <c r="T14" s="81">
        <f>Pipeline!T34*150</f>
        <v>750</v>
      </c>
      <c r="U14" s="81">
        <f>Pipeline!U34*150</f>
        <v>750</v>
      </c>
      <c r="V14" s="81">
        <f>Pipeline!V34*150</f>
        <v>750</v>
      </c>
      <c r="W14" s="81">
        <f>Pipeline!W34*150</f>
        <v>750</v>
      </c>
    </row>
    <row r="15" spans="1:23" ht="30" customHeight="1" x14ac:dyDescent="0.25">
      <c r="A15" s="3"/>
      <c r="B15" s="278"/>
      <c r="C15" s="305"/>
      <c r="D15" s="281"/>
      <c r="E15" s="11" t="s">
        <v>275</v>
      </c>
      <c r="F15" s="216" t="s">
        <v>248</v>
      </c>
      <c r="G15" s="216" t="s">
        <v>248</v>
      </c>
      <c r="H15" s="216">
        <v>7450</v>
      </c>
      <c r="I15" s="216">
        <v>4500</v>
      </c>
      <c r="J15" s="216">
        <v>5250</v>
      </c>
      <c r="K15" s="216">
        <v>5050</v>
      </c>
      <c r="L15" s="217">
        <v>2910</v>
      </c>
      <c r="M15" s="81">
        <f>'Budget Projections'!C13</f>
        <v>4725</v>
      </c>
      <c r="N15" s="81">
        <f>'Budget Projections'!D13</f>
        <v>10710</v>
      </c>
      <c r="O15" s="81">
        <f>'Budget Projections'!E13</f>
        <v>29445.733500000002</v>
      </c>
      <c r="P15" s="81">
        <f>'Budget Projections'!F13</f>
        <v>37439.719525</v>
      </c>
      <c r="Q15" s="81">
        <f>'Budget Projections'!G13</f>
        <v>29285</v>
      </c>
      <c r="R15" s="81">
        <f>'Budget Projections'!H13</f>
        <v>34015</v>
      </c>
      <c r="S15" s="81">
        <f>'Budget Projections'!I13</f>
        <v>39560</v>
      </c>
      <c r="T15" s="81">
        <f>'Budget Projections'!J13</f>
        <v>45470</v>
      </c>
      <c r="U15" s="81">
        <f>'Budget Projections'!K13</f>
        <v>58960</v>
      </c>
      <c r="V15" s="81">
        <f>'Budget Projections'!L13</f>
        <v>67845</v>
      </c>
      <c r="W15" s="81">
        <f>'Budget Projections'!M13</f>
        <v>77960</v>
      </c>
    </row>
    <row r="16" spans="1:23" ht="30" customHeight="1" x14ac:dyDescent="0.25">
      <c r="A16" s="3"/>
      <c r="B16" s="278"/>
      <c r="C16" s="317" t="s">
        <v>221</v>
      </c>
      <c r="D16" s="313"/>
      <c r="E16" s="73" t="s">
        <v>220</v>
      </c>
      <c r="F16" s="215">
        <v>106693</v>
      </c>
      <c r="G16" s="215">
        <v>159189</v>
      </c>
      <c r="H16" s="215">
        <v>162500</v>
      </c>
      <c r="I16" s="215">
        <v>207684</v>
      </c>
      <c r="J16" s="215">
        <v>202956</v>
      </c>
      <c r="K16" s="215">
        <v>269205</v>
      </c>
      <c r="L16" s="215">
        <v>252557.51</v>
      </c>
      <c r="M16" s="81">
        <f>'Budget Projections'!C28+'Budget Projections'!C35</f>
        <v>214331.5</v>
      </c>
      <c r="N16" s="81">
        <f>'Budget Projections'!D28+'Budget Projections'!D35</f>
        <v>223969.48598249999</v>
      </c>
      <c r="O16" s="81">
        <f>'Budget Projections'!E28+'Budget Projections'!E35</f>
        <v>216623.56766480039</v>
      </c>
      <c r="P16" s="81">
        <f>'Budget Projections'!F28+'Budget Projections'!F35</f>
        <v>209956.26664897939</v>
      </c>
      <c r="Q16" s="81">
        <f>'Budget Projections'!G28+'Budget Projections'!G35</f>
        <v>214559.1196921565</v>
      </c>
      <c r="R16" s="81">
        <f>'Budget Projections'!H28+'Budget Projections'!H35</f>
        <v>178988.24553376198</v>
      </c>
      <c r="S16" s="81">
        <f>'Budget Projections'!I28+'Budget Projections'!I35</f>
        <v>183763.00828461489</v>
      </c>
      <c r="T16" s="81">
        <f>'Budget Projections'!J28+'Budget Projections'!J35</f>
        <v>188678.98787015848</v>
      </c>
      <c r="U16" s="81">
        <f>'Budget Projections'!K28+'Budget Projections'!K35</f>
        <v>195040.42845535115</v>
      </c>
      <c r="V16" s="81">
        <f>'Budget Projections'!L28+'Budget Projections'!L35</f>
        <v>200251.70713284932</v>
      </c>
      <c r="W16" s="81">
        <f>'Budget Projections'!M28+'Budget Projections'!M35</f>
        <v>205618.11826746174</v>
      </c>
    </row>
    <row r="17" spans="1:23" ht="30" customHeight="1" x14ac:dyDescent="0.25">
      <c r="A17" s="3"/>
      <c r="B17" s="278"/>
      <c r="C17" s="318"/>
      <c r="D17" s="314"/>
      <c r="E17" s="73" t="s">
        <v>276</v>
      </c>
      <c r="F17" s="215">
        <v>19158</v>
      </c>
      <c r="G17" s="215">
        <v>23107</v>
      </c>
      <c r="H17" s="215">
        <v>18517</v>
      </c>
      <c r="I17" s="215">
        <v>16195</v>
      </c>
      <c r="J17" s="215">
        <v>15154</v>
      </c>
      <c r="K17" s="215">
        <v>18347</v>
      </c>
      <c r="L17" s="215">
        <v>14649</v>
      </c>
      <c r="M17" s="81">
        <v>14000</v>
      </c>
      <c r="N17" s="81">
        <v>14000</v>
      </c>
      <c r="O17" s="81">
        <v>14000</v>
      </c>
      <c r="P17" s="56">
        <v>7000</v>
      </c>
      <c r="Q17" s="56">
        <v>7000</v>
      </c>
      <c r="R17" s="57">
        <v>4600</v>
      </c>
      <c r="S17" s="57">
        <v>4600</v>
      </c>
      <c r="T17" s="57">
        <v>4600</v>
      </c>
      <c r="U17" s="57">
        <v>4600</v>
      </c>
      <c r="V17" s="57">
        <v>4600</v>
      </c>
      <c r="W17" s="57">
        <v>4600</v>
      </c>
    </row>
    <row r="18" spans="1:23" ht="30" customHeight="1" x14ac:dyDescent="0.25">
      <c r="A18" s="3"/>
      <c r="B18" s="278"/>
      <c r="C18" s="318"/>
      <c r="D18" s="314"/>
      <c r="E18" s="139" t="s">
        <v>278</v>
      </c>
      <c r="F18" s="218" t="s">
        <v>248</v>
      </c>
      <c r="G18" s="218">
        <v>8069</v>
      </c>
      <c r="H18" s="218">
        <v>7442</v>
      </c>
      <c r="I18" s="218">
        <v>5390</v>
      </c>
      <c r="J18" s="218">
        <v>3989</v>
      </c>
      <c r="K18" s="218">
        <v>3392</v>
      </c>
      <c r="L18" s="218">
        <v>2652</v>
      </c>
      <c r="M18" s="81">
        <v>4000</v>
      </c>
      <c r="N18" s="56">
        <v>4000</v>
      </c>
      <c r="O18" s="56">
        <v>4000</v>
      </c>
      <c r="P18" s="56">
        <v>4000</v>
      </c>
      <c r="Q18" s="56">
        <v>3000</v>
      </c>
      <c r="R18" s="57">
        <v>3000</v>
      </c>
      <c r="S18" s="56">
        <v>3000</v>
      </c>
      <c r="T18" s="56">
        <v>3000</v>
      </c>
      <c r="U18" s="56">
        <v>2000</v>
      </c>
      <c r="V18" s="57">
        <v>2000</v>
      </c>
      <c r="W18" s="57">
        <v>2000</v>
      </c>
    </row>
    <row r="19" spans="1:23" ht="30" customHeight="1" x14ac:dyDescent="0.25">
      <c r="A19" s="3"/>
      <c r="B19" s="278"/>
      <c r="C19" s="318"/>
      <c r="D19" s="314"/>
      <c r="E19" s="73" t="s">
        <v>279</v>
      </c>
      <c r="F19" s="215" t="s">
        <v>248</v>
      </c>
      <c r="G19" s="215" t="s">
        <v>248</v>
      </c>
      <c r="H19" s="215" t="s">
        <v>248</v>
      </c>
      <c r="I19" s="215">
        <v>16290</v>
      </c>
      <c r="J19" s="215">
        <v>13650</v>
      </c>
      <c r="K19" s="215">
        <v>13650</v>
      </c>
      <c r="L19" s="215">
        <v>13650</v>
      </c>
      <c r="M19" s="81">
        <v>10750</v>
      </c>
      <c r="N19" s="56">
        <v>16000</v>
      </c>
      <c r="O19" s="56">
        <v>16000</v>
      </c>
      <c r="P19" s="56">
        <v>11000</v>
      </c>
      <c r="Q19" s="56">
        <f>P19+P19*1%</f>
        <v>11110</v>
      </c>
      <c r="R19" s="56">
        <f t="shared" ref="R19:W19" si="2">Q19+Q19*1%</f>
        <v>11221.1</v>
      </c>
      <c r="S19" s="56">
        <f t="shared" si="2"/>
        <v>11333.311</v>
      </c>
      <c r="T19" s="56">
        <f t="shared" si="2"/>
        <v>11446.644109999999</v>
      </c>
      <c r="U19" s="56">
        <f t="shared" si="2"/>
        <v>11561.110551099999</v>
      </c>
      <c r="V19" s="56">
        <f t="shared" si="2"/>
        <v>11676.721656610998</v>
      </c>
      <c r="W19" s="56">
        <f t="shared" si="2"/>
        <v>11793.488873177108</v>
      </c>
    </row>
    <row r="20" spans="1:23" ht="30" customHeight="1" x14ac:dyDescent="0.25">
      <c r="A20" s="3"/>
      <c r="B20" s="278"/>
      <c r="C20" s="318"/>
      <c r="D20" s="315"/>
      <c r="E20" s="73" t="s">
        <v>361</v>
      </c>
      <c r="F20" s="215" t="s">
        <v>248</v>
      </c>
      <c r="G20" s="215" t="s">
        <v>248</v>
      </c>
      <c r="H20" s="215" t="s">
        <v>248</v>
      </c>
      <c r="I20" s="215" t="s">
        <v>248</v>
      </c>
      <c r="J20" s="215" t="s">
        <v>248</v>
      </c>
      <c r="K20" s="215">
        <v>427</v>
      </c>
      <c r="L20" s="215">
        <v>258</v>
      </c>
      <c r="M20" s="56">
        <v>2900</v>
      </c>
      <c r="N20" s="56">
        <v>2900</v>
      </c>
      <c r="O20" s="56">
        <v>2900</v>
      </c>
      <c r="P20" s="56">
        <v>2900</v>
      </c>
      <c r="Q20" s="56">
        <v>2900</v>
      </c>
      <c r="R20" s="56">
        <v>2900</v>
      </c>
      <c r="S20" s="56">
        <v>2900</v>
      </c>
      <c r="T20" s="56">
        <v>2900</v>
      </c>
      <c r="U20" s="57">
        <v>5300</v>
      </c>
      <c r="V20" s="57">
        <v>5300</v>
      </c>
      <c r="W20" s="57">
        <v>5300</v>
      </c>
    </row>
    <row r="21" spans="1:23" ht="30" customHeight="1" x14ac:dyDescent="0.25">
      <c r="A21" s="3"/>
      <c r="B21" s="278"/>
      <c r="C21" s="318"/>
      <c r="D21" s="165"/>
      <c r="E21" s="73" t="s">
        <v>284</v>
      </c>
      <c r="F21" s="215">
        <v>100</v>
      </c>
      <c r="G21" s="215">
        <v>373</v>
      </c>
      <c r="H21" s="215">
        <v>312</v>
      </c>
      <c r="I21" s="215">
        <v>309</v>
      </c>
      <c r="J21" s="215">
        <v>227</v>
      </c>
      <c r="K21" s="215">
        <v>96</v>
      </c>
      <c r="L21" s="215">
        <v>431</v>
      </c>
      <c r="M21" s="81">
        <v>600</v>
      </c>
      <c r="N21" s="56">
        <v>600</v>
      </c>
      <c r="O21" s="56">
        <v>500</v>
      </c>
      <c r="P21" s="56">
        <v>500</v>
      </c>
      <c r="Q21" s="56">
        <v>500</v>
      </c>
      <c r="R21" s="57">
        <v>400</v>
      </c>
      <c r="S21" s="56">
        <v>400</v>
      </c>
      <c r="T21" s="56">
        <v>400</v>
      </c>
      <c r="U21" s="56">
        <v>300</v>
      </c>
      <c r="V21" s="57">
        <v>300</v>
      </c>
      <c r="W21" s="57">
        <v>300</v>
      </c>
    </row>
    <row r="22" spans="1:23" ht="30" customHeight="1" x14ac:dyDescent="0.25">
      <c r="A22" s="3"/>
      <c r="B22" s="278"/>
      <c r="C22" s="318"/>
      <c r="D22" s="165"/>
      <c r="E22" s="73" t="s">
        <v>243</v>
      </c>
      <c r="F22" s="215" t="s">
        <v>248</v>
      </c>
      <c r="G22" s="215" t="s">
        <v>248</v>
      </c>
      <c r="H22" s="215" t="s">
        <v>248</v>
      </c>
      <c r="I22" s="215" t="s">
        <v>248</v>
      </c>
      <c r="J22" s="215" t="s">
        <v>248</v>
      </c>
      <c r="K22" s="215">
        <v>0</v>
      </c>
      <c r="L22" s="215">
        <v>13047</v>
      </c>
      <c r="M22" s="81">
        <v>2500</v>
      </c>
      <c r="N22" s="56">
        <v>1500</v>
      </c>
      <c r="O22" s="56">
        <v>1500</v>
      </c>
      <c r="P22" s="56">
        <v>1500</v>
      </c>
      <c r="Q22" s="56">
        <v>1500</v>
      </c>
      <c r="R22" s="56">
        <v>1500</v>
      </c>
      <c r="S22" s="56">
        <v>1500</v>
      </c>
      <c r="T22" s="56">
        <v>1500</v>
      </c>
      <c r="U22" s="56">
        <v>1500</v>
      </c>
      <c r="V22" s="56">
        <v>1500</v>
      </c>
      <c r="W22" s="56">
        <v>1500</v>
      </c>
    </row>
    <row r="23" spans="1:23" ht="30" customHeight="1" x14ac:dyDescent="0.25">
      <c r="A23" s="3"/>
      <c r="B23" s="278"/>
      <c r="C23" s="318"/>
      <c r="D23" s="165"/>
      <c r="E23" s="73" t="s">
        <v>283</v>
      </c>
      <c r="F23" s="215" t="s">
        <v>248</v>
      </c>
      <c r="G23" s="215" t="s">
        <v>248</v>
      </c>
      <c r="H23" s="215" t="s">
        <v>248</v>
      </c>
      <c r="I23" s="215" t="s">
        <v>248</v>
      </c>
      <c r="J23" s="215" t="s">
        <v>248</v>
      </c>
      <c r="K23" s="215" t="s">
        <v>248</v>
      </c>
      <c r="L23" s="215" t="s">
        <v>248</v>
      </c>
      <c r="M23" s="81" t="s">
        <v>248</v>
      </c>
      <c r="N23" s="81" t="s">
        <v>248</v>
      </c>
      <c r="O23" s="81" t="s">
        <v>248</v>
      </c>
      <c r="P23" s="81" t="s">
        <v>248</v>
      </c>
      <c r="Q23" s="81" t="s">
        <v>248</v>
      </c>
      <c r="R23" s="81" t="s">
        <v>248</v>
      </c>
      <c r="S23" s="81" t="s">
        <v>248</v>
      </c>
      <c r="T23" s="81" t="s">
        <v>248</v>
      </c>
      <c r="U23" s="81" t="s">
        <v>248</v>
      </c>
      <c r="V23" s="81" t="s">
        <v>248</v>
      </c>
      <c r="W23" s="81" t="s">
        <v>248</v>
      </c>
    </row>
    <row r="24" spans="1:23" ht="30" customHeight="1" x14ac:dyDescent="0.25">
      <c r="A24" s="3"/>
      <c r="B24" s="278"/>
      <c r="C24" s="319"/>
      <c r="D24" s="165"/>
      <c r="E24" s="73" t="s">
        <v>282</v>
      </c>
      <c r="F24" s="215" t="s">
        <v>248</v>
      </c>
      <c r="G24" s="215" t="s">
        <v>248</v>
      </c>
      <c r="H24" s="215" t="s">
        <v>248</v>
      </c>
      <c r="I24" s="215" t="s">
        <v>248</v>
      </c>
      <c r="J24" s="215" t="s">
        <v>248</v>
      </c>
      <c r="K24" s="215" t="s">
        <v>248</v>
      </c>
      <c r="L24" s="215" t="s">
        <v>248</v>
      </c>
      <c r="M24" s="81">
        <v>2.5</v>
      </c>
      <c r="N24" s="56">
        <f>Pipeline!N5*0.05</f>
        <v>3.1159825000000003</v>
      </c>
      <c r="O24" s="56">
        <f>Pipeline!O5*0.05</f>
        <v>4.0143998750000005</v>
      </c>
      <c r="P24" s="56">
        <f>Pipeline!P5*0.05</f>
        <v>5.1267861062500009</v>
      </c>
      <c r="Q24" s="56">
        <f>Pipeline!Q5*0.05</f>
        <v>6.4456333971874997</v>
      </c>
      <c r="R24" s="56">
        <f>Pipeline!R5*0.05</f>
        <v>7.9821093442656252</v>
      </c>
      <c r="S24" s="56">
        <f>Pipeline!S5*0.05</f>
        <v>9.7589574646554684</v>
      </c>
      <c r="T24" s="56">
        <f>Pipeline!T5*0.05</f>
        <v>11.807283193728788</v>
      </c>
      <c r="U24" s="56">
        <f>Pipeline!U5*0.05</f>
        <v>14.165332977475607</v>
      </c>
      <c r="V24" s="56">
        <f>Pipeline!V5*0.05</f>
        <v>16.8783278264407</v>
      </c>
      <c r="W24" s="56">
        <f>Pipeline!W5*0.05</f>
        <v>20.779031420363175</v>
      </c>
    </row>
    <row r="25" spans="1:23" ht="30" customHeight="1" x14ac:dyDescent="0.25">
      <c r="A25" s="3"/>
      <c r="B25" s="278"/>
      <c r="C25" s="288" t="s">
        <v>25</v>
      </c>
      <c r="D25" s="299" t="s">
        <v>121</v>
      </c>
      <c r="E25" s="5" t="s">
        <v>277</v>
      </c>
      <c r="F25" s="214">
        <v>20244</v>
      </c>
      <c r="G25" s="214">
        <v>31565</v>
      </c>
      <c r="H25" s="214">
        <v>26526</v>
      </c>
      <c r="I25" s="214">
        <v>38522</v>
      </c>
      <c r="J25" s="214">
        <v>33711</v>
      </c>
      <c r="K25" s="214">
        <v>35911</v>
      </c>
      <c r="L25" s="215">
        <v>44686.94</v>
      </c>
      <c r="M25" s="81">
        <f>'Budget Projections'!C28</f>
        <v>34752.5</v>
      </c>
      <c r="N25" s="81">
        <f>'Budget Projections'!D28</f>
        <v>39003.1159825</v>
      </c>
      <c r="O25" s="81">
        <f>'Budget Projections'!E28</f>
        <v>38904.014399874999</v>
      </c>
      <c r="P25" s="81">
        <f>'Budget Projections'!F28</f>
        <v>26905.126786106252</v>
      </c>
      <c r="Q25" s="81">
        <f>'Budget Projections'!G28</f>
        <v>26016.445633397187</v>
      </c>
      <c r="R25" s="81">
        <f>'Budget Projections'!H28</f>
        <v>23629.082109344265</v>
      </c>
      <c r="S25" s="81">
        <f>'Budget Projections'!I28</f>
        <v>23743.069957464657</v>
      </c>
      <c r="T25" s="81">
        <f>'Budget Projections'!J28</f>
        <v>23858.451393193729</v>
      </c>
      <c r="U25" s="81">
        <f>'Budget Projections'!K28</f>
        <v>25275.275884077473</v>
      </c>
      <c r="V25" s="81">
        <f>'Budget Projections'!L28</f>
        <v>25393.599984437442</v>
      </c>
      <c r="W25" s="81">
        <f>'Budget Projections'!M28</f>
        <v>25514.267904597469</v>
      </c>
    </row>
    <row r="26" spans="1:23" ht="30" customHeight="1" x14ac:dyDescent="0.25">
      <c r="A26" s="3"/>
      <c r="B26" s="278"/>
      <c r="C26" s="289"/>
      <c r="D26" s="300"/>
      <c r="E26" s="5" t="s">
        <v>186</v>
      </c>
      <c r="F26" s="214">
        <f>F12-F25</f>
        <v>-19644</v>
      </c>
      <c r="G26" s="214">
        <f>G12-G25</f>
        <v>-30065</v>
      </c>
      <c r="H26" s="214">
        <f t="shared" ref="H26:W26" si="3">H12-H25</f>
        <v>-18345</v>
      </c>
      <c r="I26" s="214">
        <f t="shared" si="3"/>
        <v>-26816</v>
      </c>
      <c r="J26" s="214">
        <f t="shared" si="3"/>
        <v>-20263</v>
      </c>
      <c r="K26" s="214">
        <f t="shared" si="3"/>
        <v>-24795</v>
      </c>
      <c r="L26" s="215">
        <f t="shared" si="3"/>
        <v>-9176.9400000000023</v>
      </c>
      <c r="M26" s="172">
        <f t="shared" si="3"/>
        <v>-9355.7150000000001</v>
      </c>
      <c r="N26" s="172">
        <f t="shared" si="3"/>
        <v>-3616.7477325</v>
      </c>
      <c r="O26" s="172">
        <f t="shared" si="3"/>
        <v>25115.824350124996</v>
      </c>
      <c r="P26" s="172">
        <f t="shared" si="3"/>
        <v>57708.338338893751</v>
      </c>
      <c r="Q26" s="172">
        <f t="shared" si="3"/>
        <v>58738.590123477799</v>
      </c>
      <c r="R26" s="172">
        <f t="shared" si="3"/>
        <v>81491.535348374484</v>
      </c>
      <c r="S26" s="172">
        <f t="shared" si="3"/>
        <v>99266.715769922826</v>
      </c>
      <c r="T26" s="172">
        <f t="shared" si="3"/>
        <v>119460.79995851823</v>
      </c>
      <c r="U26" s="172">
        <f t="shared" si="3"/>
        <v>148425.53929684061</v>
      </c>
      <c r="V26" s="172">
        <f t="shared" si="3"/>
        <v>177356.4990002214</v>
      </c>
      <c r="W26" s="172">
        <f t="shared" si="3"/>
        <v>213963.82001727159</v>
      </c>
    </row>
    <row r="27" spans="1:23" ht="30" customHeight="1" x14ac:dyDescent="0.25">
      <c r="A27" s="3"/>
      <c r="B27" s="278"/>
      <c r="C27" s="309"/>
      <c r="D27" s="299" t="s">
        <v>222</v>
      </c>
      <c r="E27" s="5" t="s">
        <v>303</v>
      </c>
      <c r="F27" s="214">
        <f>F16-F25</f>
        <v>86449</v>
      </c>
      <c r="G27" s="214">
        <f>G16-G25</f>
        <v>127624</v>
      </c>
      <c r="H27" s="214">
        <f t="shared" ref="H27:L27" si="4">H16-H25</f>
        <v>135974</v>
      </c>
      <c r="I27" s="214">
        <f t="shared" si="4"/>
        <v>169162</v>
      </c>
      <c r="J27" s="214">
        <f t="shared" si="4"/>
        <v>169245</v>
      </c>
      <c r="K27" s="214">
        <f t="shared" si="4"/>
        <v>233294</v>
      </c>
      <c r="L27" s="214">
        <f t="shared" si="4"/>
        <v>207870.57</v>
      </c>
      <c r="M27" s="82">
        <f>'Budget Projections'!C35</f>
        <v>179579</v>
      </c>
      <c r="N27" s="82">
        <f>'Budget Projections'!D35</f>
        <v>184966.37</v>
      </c>
      <c r="O27" s="82">
        <f>'Budget Projections'!E35</f>
        <v>177719.55326492537</v>
      </c>
      <c r="P27" s="82">
        <f>'Budget Projections'!F35</f>
        <v>183051.13986287313</v>
      </c>
      <c r="Q27" s="82">
        <f>'Budget Projections'!G35</f>
        <v>188542.67405875932</v>
      </c>
      <c r="R27" s="82">
        <f>'Budget Projections'!H35</f>
        <v>155359.1634244177</v>
      </c>
      <c r="S27" s="82">
        <f>'Budget Projections'!I35</f>
        <v>160019.93832715022</v>
      </c>
      <c r="T27" s="82">
        <f>'Budget Projections'!J35</f>
        <v>164820.53647696474</v>
      </c>
      <c r="U27" s="82">
        <f>'Budget Projections'!K35</f>
        <v>169765.15257127368</v>
      </c>
      <c r="V27" s="82">
        <f>'Budget Projections'!L35</f>
        <v>174858.10714841189</v>
      </c>
      <c r="W27" s="82">
        <f>'Budget Projections'!M35</f>
        <v>180103.85036286426</v>
      </c>
    </row>
    <row r="28" spans="1:23" ht="30" customHeight="1" x14ac:dyDescent="0.25">
      <c r="A28" s="3"/>
      <c r="B28" s="278"/>
      <c r="C28" s="310"/>
      <c r="D28" s="312"/>
      <c r="E28" s="158" t="s">
        <v>254</v>
      </c>
      <c r="F28" s="219" t="s">
        <v>248</v>
      </c>
      <c r="G28" s="219" t="s">
        <v>248</v>
      </c>
      <c r="H28" s="220">
        <v>109661.41</v>
      </c>
      <c r="I28" s="220">
        <v>137122.07</v>
      </c>
      <c r="J28" s="220">
        <v>138604.56</v>
      </c>
      <c r="K28" s="220">
        <v>193244.35</v>
      </c>
      <c r="L28" s="220">
        <v>167058.64000000001</v>
      </c>
      <c r="M28" s="196">
        <v>141173</v>
      </c>
      <c r="N28" s="197">
        <f>'Budget Projections'!D33</f>
        <v>145408.19</v>
      </c>
      <c r="O28" s="197">
        <f>'Budget Projections'!E33</f>
        <v>139711.22733208956</v>
      </c>
      <c r="P28" s="197">
        <f>'Budget Projections'!F33</f>
        <v>143902.56415205225</v>
      </c>
      <c r="Q28" s="197">
        <f>'Budget Projections'!G33</f>
        <v>148219.6410766138</v>
      </c>
      <c r="R28" s="197">
        <f>'Budget Projections'!H33</f>
        <v>122132.98424712977</v>
      </c>
      <c r="S28" s="197">
        <f>'Budget Projections'!I33</f>
        <v>125796.97377454367</v>
      </c>
      <c r="T28" s="197">
        <f>'Budget Projections'!J33</f>
        <v>129570.88298777999</v>
      </c>
      <c r="U28" s="197">
        <f>'Budget Projections'!K33</f>
        <v>133458.00947741338</v>
      </c>
      <c r="V28" s="197">
        <f>'Budget Projections'!L33</f>
        <v>137461.74976173579</v>
      </c>
      <c r="W28" s="197">
        <f>'Budget Projections'!M33</f>
        <v>141585.60225458787</v>
      </c>
    </row>
    <row r="29" spans="1:23" ht="30" customHeight="1" x14ac:dyDescent="0.25">
      <c r="A29" s="3"/>
      <c r="B29" s="278"/>
      <c r="C29" s="310"/>
      <c r="D29" s="312"/>
      <c r="E29" s="158" t="s">
        <v>448</v>
      </c>
      <c r="F29" s="219"/>
      <c r="G29" s="219"/>
      <c r="H29" s="220"/>
      <c r="I29" s="220"/>
      <c r="J29" s="220"/>
      <c r="K29" s="220"/>
      <c r="L29" s="220"/>
      <c r="M29" s="196">
        <v>38406</v>
      </c>
      <c r="N29" s="197">
        <f>'Budget Projections'!D34</f>
        <v>39558.18</v>
      </c>
      <c r="O29" s="197">
        <f>'Budget Projections'!E34</f>
        <v>38008.325932835818</v>
      </c>
      <c r="P29" s="197">
        <f>'Budget Projections'!F34</f>
        <v>39148.575710820893</v>
      </c>
      <c r="Q29" s="197">
        <f>'Budget Projections'!G34</f>
        <v>40323.032982145523</v>
      </c>
      <c r="R29" s="197">
        <f>'Budget Projections'!H34</f>
        <v>33226.179177287915</v>
      </c>
      <c r="S29" s="197">
        <f>'Budget Projections'!I34</f>
        <v>34222.964552606551</v>
      </c>
      <c r="T29" s="197">
        <f>'Budget Projections'!J34</f>
        <v>35249.653489184748</v>
      </c>
      <c r="U29" s="197">
        <f>'Budget Projections'!K34</f>
        <v>36307.143093860293</v>
      </c>
      <c r="V29" s="197">
        <f>'Budget Projections'!L34</f>
        <v>37396.3573866761</v>
      </c>
      <c r="W29" s="197">
        <f>'Budget Projections'!M34</f>
        <v>38518.248108276384</v>
      </c>
    </row>
    <row r="30" spans="1:23" ht="43.5" hidden="1" customHeight="1" x14ac:dyDescent="0.25">
      <c r="A30" s="3"/>
      <c r="B30" s="278"/>
      <c r="C30" s="311"/>
      <c r="D30" s="300"/>
      <c r="E30" s="158" t="s">
        <v>335</v>
      </c>
      <c r="F30" s="219" t="s">
        <v>248</v>
      </c>
      <c r="G30" s="219" t="s">
        <v>248</v>
      </c>
      <c r="H30" s="220" t="s">
        <v>248</v>
      </c>
      <c r="I30" s="220" t="s">
        <v>248</v>
      </c>
      <c r="J30" s="220" t="s">
        <v>248</v>
      </c>
      <c r="K30" s="220" t="s">
        <v>248</v>
      </c>
      <c r="L30" s="220">
        <v>226</v>
      </c>
      <c r="M30" s="82"/>
      <c r="N30" s="50"/>
      <c r="O30" s="50"/>
      <c r="P30" s="50"/>
      <c r="Q30" s="50"/>
      <c r="R30" s="51"/>
      <c r="S30" s="56"/>
      <c r="T30" s="56"/>
      <c r="U30" s="56"/>
      <c r="V30" s="57"/>
      <c r="W30" s="57"/>
    </row>
    <row r="31" spans="1:23" ht="30" customHeight="1" x14ac:dyDescent="0.25">
      <c r="A31" s="3"/>
      <c r="B31" s="278"/>
      <c r="C31" s="307" t="s">
        <v>134</v>
      </c>
      <c r="D31" s="282"/>
      <c r="E31" s="192" t="s">
        <v>35</v>
      </c>
      <c r="F31" s="220" t="s">
        <v>248</v>
      </c>
      <c r="G31" s="220" t="s">
        <v>248</v>
      </c>
      <c r="H31" s="220">
        <v>175</v>
      </c>
      <c r="I31" s="220" t="s">
        <v>31</v>
      </c>
      <c r="J31" s="220" t="s">
        <v>31</v>
      </c>
      <c r="K31" s="220" t="s">
        <v>31</v>
      </c>
      <c r="L31" s="220" t="s">
        <v>32</v>
      </c>
      <c r="M31" s="193" t="s">
        <v>33</v>
      </c>
      <c r="N31" s="193" t="s">
        <v>34</v>
      </c>
      <c r="O31" s="194">
        <v>240.45</v>
      </c>
      <c r="P31" s="194">
        <v>252.47</v>
      </c>
      <c r="Q31" s="194">
        <v>265.10000000000002</v>
      </c>
      <c r="R31" s="195">
        <v>278.35000000000002</v>
      </c>
      <c r="S31" s="194">
        <v>292.27</v>
      </c>
      <c r="T31" s="194">
        <v>306.88</v>
      </c>
      <c r="U31" s="194">
        <v>322.23</v>
      </c>
      <c r="V31" s="195">
        <v>338.34</v>
      </c>
      <c r="W31" s="195">
        <v>355.25</v>
      </c>
    </row>
    <row r="32" spans="1:23" ht="30" customHeight="1" x14ac:dyDescent="0.25">
      <c r="A32" s="3"/>
      <c r="B32" s="278"/>
      <c r="C32" s="308"/>
      <c r="D32" s="282"/>
      <c r="E32" s="11" t="s">
        <v>184</v>
      </c>
      <c r="F32" s="216">
        <v>0</v>
      </c>
      <c r="G32" s="216">
        <v>0</v>
      </c>
      <c r="H32" s="216">
        <v>175</v>
      </c>
      <c r="I32" s="216">
        <v>175</v>
      </c>
      <c r="J32" s="216">
        <v>175</v>
      </c>
      <c r="K32" s="216">
        <v>175</v>
      </c>
      <c r="L32" s="216">
        <v>200</v>
      </c>
      <c r="M32" s="190">
        <v>200</v>
      </c>
      <c r="N32" s="190">
        <v>229</v>
      </c>
      <c r="O32" s="191">
        <f>N32+(N32*O33)</f>
        <v>240.45</v>
      </c>
      <c r="P32" s="191">
        <f>O32+(O32*P33)</f>
        <v>252.4725</v>
      </c>
      <c r="Q32" s="191">
        <f>P32+(P32*Q33)</f>
        <v>265.09612499999997</v>
      </c>
      <c r="R32" s="191">
        <f>Q32+(Q32*R33)</f>
        <v>278.35093124999997</v>
      </c>
      <c r="S32" s="191">
        <f t="shared" ref="S32:W32" si="5">R32+(R32*S33)</f>
        <v>292.26847781249995</v>
      </c>
      <c r="T32" s="191">
        <f t="shared" si="5"/>
        <v>306.88190170312492</v>
      </c>
      <c r="U32" s="191">
        <f t="shared" si="5"/>
        <v>322.22599678828118</v>
      </c>
      <c r="V32" s="191">
        <f t="shared" si="5"/>
        <v>338.33729662769525</v>
      </c>
      <c r="W32" s="191">
        <f t="shared" si="5"/>
        <v>355.25416145908002</v>
      </c>
    </row>
    <row r="33" spans="1:23" ht="30" customHeight="1" x14ac:dyDescent="0.25">
      <c r="A33" s="3"/>
      <c r="B33" s="278"/>
      <c r="C33" s="308"/>
      <c r="D33" s="282"/>
      <c r="E33" s="11" t="s">
        <v>185</v>
      </c>
      <c r="F33" s="216">
        <v>0</v>
      </c>
      <c r="G33" s="216">
        <v>0</v>
      </c>
      <c r="H33" s="216">
        <v>0</v>
      </c>
      <c r="I33" s="216">
        <v>0</v>
      </c>
      <c r="J33" s="216">
        <v>0</v>
      </c>
      <c r="K33" s="216">
        <v>0</v>
      </c>
      <c r="L33" s="216">
        <v>0</v>
      </c>
      <c r="M33" s="216">
        <v>0</v>
      </c>
      <c r="N33" s="41">
        <f t="shared" ref="N33" si="6">(N32-M32)/M32</f>
        <v>0.14499999999999999</v>
      </c>
      <c r="O33" s="111">
        <v>0.05</v>
      </c>
      <c r="P33" s="111">
        <v>0.05</v>
      </c>
      <c r="Q33" s="111">
        <v>0.05</v>
      </c>
      <c r="R33" s="111">
        <v>0.05</v>
      </c>
      <c r="S33" s="111">
        <v>0.05</v>
      </c>
      <c r="T33" s="111">
        <v>0.05</v>
      </c>
      <c r="U33" s="111">
        <v>0.05</v>
      </c>
      <c r="V33" s="111">
        <v>0.05</v>
      </c>
      <c r="W33" s="111">
        <v>0.05</v>
      </c>
    </row>
    <row r="34" spans="1:23" ht="30" customHeight="1" x14ac:dyDescent="0.25">
      <c r="A34" s="3"/>
      <c r="B34" s="278"/>
      <c r="C34" s="308"/>
      <c r="D34" s="282"/>
      <c r="E34" s="11" t="s">
        <v>230</v>
      </c>
      <c r="F34" s="216">
        <v>0</v>
      </c>
      <c r="G34" s="216">
        <v>0</v>
      </c>
      <c r="H34" s="216">
        <v>0</v>
      </c>
      <c r="I34" s="216">
        <v>0</v>
      </c>
      <c r="J34" s="216">
        <v>0</v>
      </c>
      <c r="K34" s="216">
        <v>0</v>
      </c>
      <c r="L34" s="221">
        <v>100</v>
      </c>
      <c r="M34" s="122">
        <v>100</v>
      </c>
      <c r="N34" s="122">
        <f>+'Assumptions &amp; Forecast'!O4</f>
        <v>100</v>
      </c>
      <c r="O34" s="112">
        <f>+'Assumptions &amp; Forecast'!O5</f>
        <v>100</v>
      </c>
      <c r="P34" s="112">
        <f>+'Assumptions &amp; Forecast'!O6</f>
        <v>100</v>
      </c>
      <c r="Q34" s="112">
        <f>+'Assumptions &amp; Forecast'!O7</f>
        <v>100</v>
      </c>
      <c r="R34" s="112">
        <v>150</v>
      </c>
      <c r="S34" s="112">
        <v>150</v>
      </c>
      <c r="T34" s="112">
        <v>150</v>
      </c>
      <c r="U34" s="112">
        <f>+'Assumptions &amp; Forecast'!O10</f>
        <v>150</v>
      </c>
      <c r="V34" s="112">
        <v>200</v>
      </c>
      <c r="W34" s="112">
        <v>200</v>
      </c>
    </row>
    <row r="35" spans="1:23" ht="30" customHeight="1" x14ac:dyDescent="0.25">
      <c r="A35" s="3"/>
      <c r="B35" s="278"/>
      <c r="C35" s="308"/>
      <c r="D35" s="283"/>
      <c r="E35" s="11" t="s">
        <v>46</v>
      </c>
      <c r="F35" s="216">
        <v>0</v>
      </c>
      <c r="G35" s="216">
        <v>0</v>
      </c>
      <c r="H35" s="216">
        <v>0</v>
      </c>
      <c r="I35" s="216">
        <v>0</v>
      </c>
      <c r="J35" s="216">
        <v>0</v>
      </c>
      <c r="K35" s="216">
        <v>0</v>
      </c>
      <c r="L35" s="216" t="s">
        <v>99</v>
      </c>
      <c r="M35" s="12" t="s">
        <v>99</v>
      </c>
      <c r="N35" s="12" t="s">
        <v>104</v>
      </c>
      <c r="O35" s="56"/>
      <c r="P35" s="56"/>
      <c r="Q35" s="56"/>
      <c r="R35" s="57"/>
      <c r="S35" s="56"/>
      <c r="T35" s="56"/>
      <c r="U35" s="56"/>
      <c r="V35" s="57"/>
      <c r="W35" s="57"/>
    </row>
    <row r="36" spans="1:23" ht="30" customHeight="1" x14ac:dyDescent="0.25">
      <c r="A36" s="3"/>
      <c r="B36" s="278"/>
      <c r="C36" s="308"/>
      <c r="D36" s="279" t="s">
        <v>274</v>
      </c>
      <c r="E36" s="116" t="s">
        <v>224</v>
      </c>
      <c r="F36" s="216">
        <v>0</v>
      </c>
      <c r="G36" s="216">
        <v>0</v>
      </c>
      <c r="H36" s="216">
        <v>0</v>
      </c>
      <c r="I36" s="216">
        <v>0</v>
      </c>
      <c r="J36" s="216">
        <v>0</v>
      </c>
      <c r="K36" s="216">
        <v>0</v>
      </c>
      <c r="L36" s="216">
        <v>0</v>
      </c>
      <c r="M36" s="56">
        <v>0</v>
      </c>
      <c r="N36" s="56">
        <v>0</v>
      </c>
      <c r="O36" s="56">
        <v>100</v>
      </c>
      <c r="P36" s="112">
        <v>100</v>
      </c>
      <c r="Q36" s="112">
        <v>100</v>
      </c>
      <c r="R36" s="112">
        <v>100</v>
      </c>
      <c r="S36" s="56">
        <v>100</v>
      </c>
      <c r="T36" s="56">
        <v>100</v>
      </c>
      <c r="U36" s="56">
        <v>100</v>
      </c>
      <c r="V36" s="56">
        <v>100</v>
      </c>
      <c r="W36" s="56">
        <v>100</v>
      </c>
    </row>
    <row r="37" spans="1:23" ht="30" customHeight="1" x14ac:dyDescent="0.25">
      <c r="A37" s="3"/>
      <c r="B37" s="278"/>
      <c r="C37" s="308"/>
      <c r="D37" s="280"/>
      <c r="E37" s="116" t="s">
        <v>225</v>
      </c>
      <c r="F37" s="216">
        <v>0</v>
      </c>
      <c r="G37" s="216">
        <v>0</v>
      </c>
      <c r="H37" s="216">
        <v>0</v>
      </c>
      <c r="I37" s="216">
        <v>0</v>
      </c>
      <c r="J37" s="216">
        <v>0</v>
      </c>
      <c r="K37" s="216">
        <v>0</v>
      </c>
      <c r="L37" s="216">
        <v>0</v>
      </c>
      <c r="M37" s="56">
        <v>0</v>
      </c>
      <c r="N37" s="56">
        <v>0</v>
      </c>
      <c r="O37" s="56">
        <v>100</v>
      </c>
      <c r="P37" s="56">
        <v>100</v>
      </c>
      <c r="Q37" s="56">
        <v>87</v>
      </c>
      <c r="R37" s="57">
        <v>74</v>
      </c>
      <c r="S37" s="56">
        <v>60</v>
      </c>
      <c r="T37" s="56">
        <v>46</v>
      </c>
      <c r="U37" s="56">
        <v>30</v>
      </c>
      <c r="V37" s="56">
        <v>15</v>
      </c>
      <c r="W37" s="56">
        <v>0</v>
      </c>
    </row>
    <row r="38" spans="1:23" ht="30" customHeight="1" x14ac:dyDescent="0.25">
      <c r="A38" s="3"/>
      <c r="B38" s="278"/>
      <c r="C38" s="316"/>
      <c r="D38" s="281"/>
      <c r="E38" s="116" t="s">
        <v>307</v>
      </c>
      <c r="F38" s="216">
        <v>0</v>
      </c>
      <c r="G38" s="216">
        <v>0</v>
      </c>
      <c r="H38" s="216">
        <v>0</v>
      </c>
      <c r="I38" s="216">
        <v>0</v>
      </c>
      <c r="J38" s="216">
        <v>0</v>
      </c>
      <c r="K38" s="216">
        <v>0</v>
      </c>
      <c r="L38" s="216">
        <v>0</v>
      </c>
      <c r="M38" s="143">
        <f>M32+M36+M37</f>
        <v>200</v>
      </c>
      <c r="N38" s="143">
        <f>N32+N36+N37</f>
        <v>229</v>
      </c>
      <c r="O38" s="143">
        <f t="shared" ref="O38:W38" si="7">O32+O36+O37</f>
        <v>440.45</v>
      </c>
      <c r="P38" s="143">
        <f t="shared" si="7"/>
        <v>452.47249999999997</v>
      </c>
      <c r="Q38" s="143">
        <f t="shared" si="7"/>
        <v>452.09612499999997</v>
      </c>
      <c r="R38" s="143">
        <f t="shared" si="7"/>
        <v>452.35093124999997</v>
      </c>
      <c r="S38" s="143">
        <f t="shared" si="7"/>
        <v>452.26847781249995</v>
      </c>
      <c r="T38" s="143">
        <f t="shared" si="7"/>
        <v>452.88190170312492</v>
      </c>
      <c r="U38" s="143">
        <f t="shared" si="7"/>
        <v>452.22599678828118</v>
      </c>
      <c r="V38" s="143">
        <f t="shared" si="7"/>
        <v>453.33729662769525</v>
      </c>
      <c r="W38" s="143">
        <f t="shared" si="7"/>
        <v>455.25416145908002</v>
      </c>
    </row>
    <row r="39" spans="1:23" ht="30" customHeight="1" x14ac:dyDescent="0.25">
      <c r="A39" s="3"/>
      <c r="B39" s="278"/>
      <c r="C39" s="307" t="s">
        <v>393</v>
      </c>
      <c r="D39" s="279" t="s">
        <v>275</v>
      </c>
      <c r="E39" s="11" t="s">
        <v>308</v>
      </c>
      <c r="F39" s="216">
        <v>0</v>
      </c>
      <c r="G39" s="216">
        <v>0</v>
      </c>
      <c r="H39" s="216">
        <v>0</v>
      </c>
      <c r="I39" s="216">
        <v>0</v>
      </c>
      <c r="J39" s="216">
        <v>0</v>
      </c>
      <c r="K39" s="216">
        <v>0</v>
      </c>
      <c r="L39" s="216">
        <v>300</v>
      </c>
      <c r="M39" s="56">
        <v>300</v>
      </c>
      <c r="N39" s="56">
        <v>300</v>
      </c>
      <c r="O39" s="56">
        <v>300</v>
      </c>
      <c r="P39" s="56">
        <v>300</v>
      </c>
      <c r="Q39" s="56">
        <v>350</v>
      </c>
      <c r="R39" s="56">
        <v>350</v>
      </c>
      <c r="S39" s="56">
        <v>350</v>
      </c>
      <c r="T39" s="56">
        <v>350</v>
      </c>
      <c r="U39" s="56">
        <v>400</v>
      </c>
      <c r="V39" s="56">
        <v>400</v>
      </c>
      <c r="W39" s="56">
        <v>400</v>
      </c>
    </row>
    <row r="40" spans="1:23" ht="30" customHeight="1" x14ac:dyDescent="0.25">
      <c r="A40" s="3"/>
      <c r="B40" s="278"/>
      <c r="C40" s="308"/>
      <c r="D40" s="280"/>
      <c r="E40" s="11" t="s">
        <v>309</v>
      </c>
      <c r="F40" s="216">
        <v>0</v>
      </c>
      <c r="G40" s="216">
        <v>0</v>
      </c>
      <c r="H40" s="216">
        <v>0</v>
      </c>
      <c r="I40" s="216">
        <v>0</v>
      </c>
      <c r="J40" s="216">
        <v>0</v>
      </c>
      <c r="K40" s="216">
        <v>0</v>
      </c>
      <c r="L40" s="216">
        <v>0</v>
      </c>
      <c r="M40" s="56">
        <v>0</v>
      </c>
      <c r="N40" s="56">
        <v>0</v>
      </c>
      <c r="O40" s="56">
        <v>400</v>
      </c>
      <c r="P40" s="56">
        <v>400</v>
      </c>
      <c r="Q40" s="56">
        <v>450</v>
      </c>
      <c r="R40" s="56">
        <v>450</v>
      </c>
      <c r="S40" s="56">
        <v>450</v>
      </c>
      <c r="T40" s="56">
        <v>450</v>
      </c>
      <c r="U40" s="56">
        <v>500</v>
      </c>
      <c r="V40" s="56">
        <v>500</v>
      </c>
      <c r="W40" s="56">
        <v>500</v>
      </c>
    </row>
    <row r="41" spans="1:23" ht="30" customHeight="1" x14ac:dyDescent="0.25">
      <c r="A41" s="3"/>
      <c r="B41" s="278"/>
      <c r="C41" s="308"/>
      <c r="D41" s="280"/>
      <c r="E41" s="11" t="s">
        <v>310</v>
      </c>
      <c r="F41" s="216">
        <v>0</v>
      </c>
      <c r="G41" s="216">
        <v>0</v>
      </c>
      <c r="H41" s="216">
        <v>0</v>
      </c>
      <c r="I41" s="216">
        <v>0</v>
      </c>
      <c r="J41" s="216">
        <v>0</v>
      </c>
      <c r="K41" s="216">
        <v>0</v>
      </c>
      <c r="L41" s="216">
        <v>0</v>
      </c>
      <c r="M41" s="56">
        <v>0</v>
      </c>
      <c r="N41" s="56">
        <v>0</v>
      </c>
      <c r="O41" s="56">
        <v>500</v>
      </c>
      <c r="P41" s="56">
        <v>500</v>
      </c>
      <c r="Q41" s="56">
        <v>550</v>
      </c>
      <c r="R41" s="56">
        <v>550</v>
      </c>
      <c r="S41" s="56">
        <v>550</v>
      </c>
      <c r="T41" s="56">
        <v>550</v>
      </c>
      <c r="U41" s="56">
        <v>600</v>
      </c>
      <c r="V41" s="56">
        <v>600</v>
      </c>
      <c r="W41" s="56">
        <v>600</v>
      </c>
    </row>
    <row r="42" spans="1:23" ht="30" customHeight="1" x14ac:dyDescent="0.25">
      <c r="A42" s="3"/>
      <c r="B42" s="278"/>
      <c r="C42" s="308"/>
      <c r="D42" s="280"/>
      <c r="E42" s="11" t="s">
        <v>311</v>
      </c>
      <c r="F42" s="216">
        <v>0</v>
      </c>
      <c r="G42" s="216">
        <v>0</v>
      </c>
      <c r="H42" s="216">
        <v>0</v>
      </c>
      <c r="I42" s="216">
        <v>0</v>
      </c>
      <c r="J42" s="216">
        <v>0</v>
      </c>
      <c r="K42" s="216">
        <v>0</v>
      </c>
      <c r="L42" s="216">
        <v>80</v>
      </c>
      <c r="M42" s="56">
        <v>80</v>
      </c>
      <c r="N42" s="56">
        <v>80</v>
      </c>
      <c r="O42" s="56">
        <v>80</v>
      </c>
      <c r="P42" s="56">
        <v>80</v>
      </c>
      <c r="Q42" s="56">
        <v>100</v>
      </c>
      <c r="R42" s="56">
        <v>100</v>
      </c>
      <c r="S42" s="56">
        <v>100</v>
      </c>
      <c r="T42" s="56">
        <v>100</v>
      </c>
      <c r="U42" s="56">
        <v>125</v>
      </c>
      <c r="V42" s="56">
        <v>125</v>
      </c>
      <c r="W42" s="56">
        <v>125</v>
      </c>
    </row>
    <row r="43" spans="1:23" ht="30" customHeight="1" x14ac:dyDescent="0.25">
      <c r="A43" s="3"/>
      <c r="B43" s="278"/>
      <c r="C43" s="308"/>
      <c r="D43" s="280"/>
      <c r="E43" s="11" t="s">
        <v>398</v>
      </c>
      <c r="F43" s="216">
        <v>0</v>
      </c>
      <c r="G43" s="216">
        <v>0</v>
      </c>
      <c r="H43" s="216">
        <v>0</v>
      </c>
      <c r="I43" s="216">
        <v>0</v>
      </c>
      <c r="J43" s="216">
        <v>0</v>
      </c>
      <c r="K43" s="216">
        <v>0</v>
      </c>
      <c r="L43" s="216">
        <v>250</v>
      </c>
      <c r="M43" s="56">
        <v>250</v>
      </c>
      <c r="N43" s="56">
        <v>250</v>
      </c>
      <c r="O43" s="56">
        <v>250</v>
      </c>
      <c r="P43" s="56">
        <v>250</v>
      </c>
      <c r="Q43" s="56">
        <v>300</v>
      </c>
      <c r="R43" s="56">
        <v>300</v>
      </c>
      <c r="S43" s="56">
        <v>300</v>
      </c>
      <c r="T43" s="56">
        <v>300</v>
      </c>
      <c r="U43" s="56">
        <v>350</v>
      </c>
      <c r="V43" s="56">
        <v>350</v>
      </c>
      <c r="W43" s="56">
        <v>350</v>
      </c>
    </row>
    <row r="44" spans="1:23" ht="30" customHeight="1" x14ac:dyDescent="0.25">
      <c r="A44" s="3"/>
      <c r="B44" s="278"/>
      <c r="C44" s="308"/>
      <c r="D44" s="280"/>
      <c r="E44" s="11" t="s">
        <v>313</v>
      </c>
      <c r="F44" s="216">
        <v>0</v>
      </c>
      <c r="G44" s="216">
        <v>0</v>
      </c>
      <c r="H44" s="216">
        <v>0</v>
      </c>
      <c r="I44" s="216">
        <v>0</v>
      </c>
      <c r="J44" s="216">
        <v>0</v>
      </c>
      <c r="K44" s="216">
        <v>0</v>
      </c>
      <c r="L44" s="216">
        <v>0</v>
      </c>
      <c r="M44" s="56" t="s">
        <v>248</v>
      </c>
      <c r="N44" s="56" t="s">
        <v>248</v>
      </c>
      <c r="O44" s="56">
        <v>300</v>
      </c>
      <c r="P44" s="56">
        <v>300</v>
      </c>
      <c r="Q44" s="56">
        <v>350</v>
      </c>
      <c r="R44" s="56">
        <v>350</v>
      </c>
      <c r="S44" s="56">
        <v>350</v>
      </c>
      <c r="T44" s="56">
        <v>350</v>
      </c>
      <c r="U44" s="56">
        <v>450</v>
      </c>
      <c r="V44" s="56">
        <v>450</v>
      </c>
      <c r="W44" s="56">
        <v>450</v>
      </c>
    </row>
    <row r="45" spans="1:23" ht="30" customHeight="1" x14ac:dyDescent="0.25">
      <c r="A45" s="3"/>
      <c r="B45" s="278"/>
      <c r="C45" s="308"/>
      <c r="D45" s="280"/>
      <c r="E45" s="11" t="s">
        <v>312</v>
      </c>
      <c r="F45" s="216">
        <v>0</v>
      </c>
      <c r="G45" s="216">
        <v>0</v>
      </c>
      <c r="H45" s="216">
        <v>0</v>
      </c>
      <c r="I45" s="216">
        <v>0</v>
      </c>
      <c r="J45" s="216">
        <v>0</v>
      </c>
      <c r="K45" s="216">
        <v>0</v>
      </c>
      <c r="L45" s="216">
        <v>0</v>
      </c>
      <c r="M45" s="56" t="s">
        <v>248</v>
      </c>
      <c r="N45" s="56" t="s">
        <v>248</v>
      </c>
      <c r="O45" s="56">
        <v>400</v>
      </c>
      <c r="P45" s="56">
        <v>400</v>
      </c>
      <c r="Q45" s="56">
        <v>450</v>
      </c>
      <c r="R45" s="56">
        <v>450</v>
      </c>
      <c r="S45" s="56">
        <v>450</v>
      </c>
      <c r="T45" s="56">
        <v>450</v>
      </c>
      <c r="U45" s="56">
        <v>550</v>
      </c>
      <c r="V45" s="56">
        <v>550</v>
      </c>
      <c r="W45" s="56">
        <v>550</v>
      </c>
    </row>
    <row r="46" spans="1:23" ht="30" customHeight="1" x14ac:dyDescent="0.25">
      <c r="A46" s="3"/>
      <c r="B46" s="278"/>
      <c r="C46" s="284" t="s">
        <v>30</v>
      </c>
      <c r="D46" s="285"/>
      <c r="E46" s="14" t="s">
        <v>47</v>
      </c>
      <c r="F46" s="222">
        <v>110</v>
      </c>
      <c r="G46" s="222" t="s">
        <v>98</v>
      </c>
      <c r="H46" s="222" t="s">
        <v>98</v>
      </c>
      <c r="I46" s="222" t="s">
        <v>98</v>
      </c>
      <c r="J46" s="222" t="s">
        <v>98</v>
      </c>
      <c r="K46" s="222" t="s">
        <v>36</v>
      </c>
      <c r="L46" s="222" t="s">
        <v>33</v>
      </c>
      <c r="M46" s="26" t="s">
        <v>33</v>
      </c>
      <c r="N46" s="26" t="s">
        <v>33</v>
      </c>
      <c r="O46" s="27"/>
      <c r="P46" s="27"/>
      <c r="Q46" s="27"/>
      <c r="R46" s="15"/>
      <c r="S46" s="27"/>
      <c r="T46" s="27"/>
      <c r="U46" s="27"/>
      <c r="V46" s="15"/>
      <c r="W46" s="15"/>
    </row>
    <row r="47" spans="1:23" ht="30" customHeight="1" x14ac:dyDescent="0.25">
      <c r="A47" s="3"/>
      <c r="B47" s="278"/>
      <c r="C47" s="284"/>
      <c r="D47" s="285"/>
      <c r="E47" s="14" t="s">
        <v>45</v>
      </c>
      <c r="F47" s="223" t="s">
        <v>29</v>
      </c>
      <c r="G47" s="223" t="s">
        <v>29</v>
      </c>
      <c r="H47" s="223" t="s">
        <v>29</v>
      </c>
      <c r="I47" s="223" t="s">
        <v>29</v>
      </c>
      <c r="J47" s="223" t="s">
        <v>29</v>
      </c>
      <c r="K47" s="223" t="s">
        <v>29</v>
      </c>
      <c r="L47" s="223" t="s">
        <v>29</v>
      </c>
      <c r="M47" s="16" t="s">
        <v>29</v>
      </c>
      <c r="N47" s="16" t="s">
        <v>29</v>
      </c>
      <c r="O47" s="25"/>
      <c r="P47" s="25"/>
      <c r="Q47" s="25"/>
      <c r="R47" s="17"/>
      <c r="S47" s="25"/>
      <c r="T47" s="25"/>
      <c r="U47" s="25"/>
      <c r="V47" s="17"/>
      <c r="W47" s="17"/>
    </row>
    <row r="48" spans="1:23" ht="30" customHeight="1" x14ac:dyDescent="0.25">
      <c r="A48" s="3"/>
      <c r="B48" s="278"/>
      <c r="C48" s="284"/>
      <c r="D48" s="285"/>
      <c r="E48" s="14" t="s">
        <v>48</v>
      </c>
      <c r="F48" s="224">
        <v>325</v>
      </c>
      <c r="G48" s="224" t="s">
        <v>37</v>
      </c>
      <c r="H48" s="224" t="s">
        <v>37</v>
      </c>
      <c r="I48" s="224" t="s">
        <v>38</v>
      </c>
      <c r="J48" s="224" t="s">
        <v>39</v>
      </c>
      <c r="K48" s="224" t="s">
        <v>40</v>
      </c>
      <c r="L48" s="224" t="s">
        <v>41</v>
      </c>
      <c r="M48" s="28" t="s">
        <v>42</v>
      </c>
      <c r="N48" s="28" t="s">
        <v>43</v>
      </c>
      <c r="O48" s="25"/>
      <c r="P48" s="25"/>
      <c r="Q48" s="25"/>
      <c r="R48" s="17"/>
      <c r="S48" s="25"/>
      <c r="T48" s="25"/>
      <c r="U48" s="25"/>
      <c r="V48" s="17"/>
      <c r="W48" s="17"/>
    </row>
    <row r="49" spans="1:23" ht="30" customHeight="1" x14ac:dyDescent="0.25">
      <c r="A49" s="3"/>
      <c r="B49" s="278"/>
      <c r="C49" s="284"/>
      <c r="D49" s="285"/>
      <c r="E49" s="18" t="s">
        <v>44</v>
      </c>
      <c r="F49" s="225">
        <v>30</v>
      </c>
      <c r="G49" s="225" t="s">
        <v>99</v>
      </c>
      <c r="H49" s="225" t="s">
        <v>99</v>
      </c>
      <c r="I49" s="225" t="s">
        <v>99</v>
      </c>
      <c r="J49" s="225" t="s">
        <v>99</v>
      </c>
      <c r="K49" s="225" t="s">
        <v>99</v>
      </c>
      <c r="L49" s="225" t="s">
        <v>99</v>
      </c>
      <c r="M49" s="29" t="s">
        <v>99</v>
      </c>
      <c r="N49" s="30" t="s">
        <v>104</v>
      </c>
      <c r="O49" s="30"/>
      <c r="P49" s="30"/>
      <c r="Q49" s="30"/>
      <c r="R49" s="19"/>
      <c r="S49" s="30"/>
      <c r="T49" s="30"/>
      <c r="U49" s="30"/>
      <c r="V49" s="19"/>
      <c r="W49" s="19"/>
    </row>
    <row r="50" spans="1:23" ht="30" customHeight="1" x14ac:dyDescent="0.25">
      <c r="A50" s="3"/>
      <c r="B50" s="278"/>
      <c r="C50" s="60"/>
      <c r="D50" s="61"/>
      <c r="E50" s="32" t="s">
        <v>135</v>
      </c>
      <c r="F50" s="226">
        <v>15097982</v>
      </c>
      <c r="G50" s="226">
        <v>16493451</v>
      </c>
      <c r="H50" s="226">
        <v>17966538</v>
      </c>
      <c r="I50" s="226">
        <v>18121119</v>
      </c>
      <c r="J50" s="226">
        <v>18139636</v>
      </c>
      <c r="K50" s="226">
        <v>19182478</v>
      </c>
      <c r="L50" s="227">
        <v>18289210</v>
      </c>
      <c r="M50" s="62"/>
      <c r="N50" s="63"/>
      <c r="O50" s="56"/>
      <c r="P50" s="56"/>
      <c r="Q50" s="56"/>
      <c r="R50" s="57"/>
      <c r="S50" s="51"/>
      <c r="T50" s="51"/>
      <c r="U50" s="56"/>
      <c r="V50" s="56"/>
      <c r="W50" s="56"/>
    </row>
    <row r="51" spans="1:23" ht="30" customHeight="1" x14ac:dyDescent="0.25">
      <c r="B51" s="278"/>
      <c r="C51" s="173"/>
      <c r="D51" s="4"/>
      <c r="E51" s="32" t="s">
        <v>136</v>
      </c>
      <c r="F51" s="235">
        <f t="shared" ref="F51:L51" si="8">F9/F50</f>
        <v>7.0269655905007703E-3</v>
      </c>
      <c r="G51" s="235">
        <f t="shared" si="8"/>
        <v>9.5607038211712025E-3</v>
      </c>
      <c r="H51" s="235">
        <f t="shared" si="8"/>
        <v>8.5892451845759037E-3</v>
      </c>
      <c r="I51" s="235">
        <f t="shared" si="8"/>
        <v>1.0814895040422172E-2</v>
      </c>
      <c r="J51" s="235">
        <f t="shared" si="8"/>
        <v>1.0447177661117345E-2</v>
      </c>
      <c r="K51" s="235">
        <f t="shared" si="8"/>
        <v>1.3454413970916583E-2</v>
      </c>
      <c r="L51" s="235">
        <f t="shared" si="8"/>
        <v>1.1867543759407869E-2</v>
      </c>
      <c r="M51" s="51"/>
      <c r="N51" s="51"/>
      <c r="O51" s="56"/>
      <c r="P51" s="56"/>
      <c r="Q51" s="56"/>
      <c r="R51" s="57"/>
      <c r="S51" s="51"/>
      <c r="T51" s="51"/>
      <c r="U51" s="56"/>
      <c r="V51" s="56"/>
      <c r="W51" s="56"/>
    </row>
    <row r="52" spans="1:23" x14ac:dyDescent="0.25">
      <c r="C52" s="174"/>
    </row>
    <row r="54" spans="1:23" x14ac:dyDescent="0.25">
      <c r="D54" s="43"/>
    </row>
    <row r="75" spans="3:4" ht="15.75" x14ac:dyDescent="0.25">
      <c r="C75" s="85" t="s">
        <v>137</v>
      </c>
      <c r="D75" s="69"/>
    </row>
  </sheetData>
  <sheetProtection algorithmName="SHA-512" hashValue="hdoI9+thE6CzusW967vvAlBNeAo8i1NbpQP8fBPew+buuIjYKYyAJbh7xuubGhdrZNRo1yaEfRR5TIkP7vsjGA==" saltValue="Roy+9EUNhpn7kIBCNb6Oqg==" spinCount="100000" sheet="1" objects="1" scenarios="1"/>
  <mergeCells count="27">
    <mergeCell ref="C39:C45"/>
    <mergeCell ref="C27:C30"/>
    <mergeCell ref="D27:D30"/>
    <mergeCell ref="D16:D20"/>
    <mergeCell ref="C31:C38"/>
    <mergeCell ref="C16:C24"/>
    <mergeCell ref="F4:H4"/>
    <mergeCell ref="C12:C15"/>
    <mergeCell ref="K5:L5"/>
    <mergeCell ref="G5:J5"/>
    <mergeCell ref="D12:D15"/>
    <mergeCell ref="B2:W2"/>
    <mergeCell ref="M3:W5"/>
    <mergeCell ref="I6:W6"/>
    <mergeCell ref="B3:B51"/>
    <mergeCell ref="D39:D45"/>
    <mergeCell ref="D36:D38"/>
    <mergeCell ref="D31:D35"/>
    <mergeCell ref="C46:D49"/>
    <mergeCell ref="D8:D11"/>
    <mergeCell ref="C8:C11"/>
    <mergeCell ref="C25:C26"/>
    <mergeCell ref="F3:L3"/>
    <mergeCell ref="C3:C7"/>
    <mergeCell ref="D3:D7"/>
    <mergeCell ref="E3:E7"/>
    <mergeCell ref="D25:D26"/>
  </mergeCells>
  <pageMargins left="0.7" right="0.7" top="0.75" bottom="0.75" header="0.3" footer="0.3"/>
  <pageSetup paperSize="3" scale="3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topLeftCell="F4" zoomScaleNormal="100" workbookViewId="0">
      <selection activeCell="O37" sqref="O37"/>
    </sheetView>
  </sheetViews>
  <sheetFormatPr defaultColWidth="12.7109375" defaultRowHeight="15" x14ac:dyDescent="0.25"/>
  <cols>
    <col min="1" max="1" width="1.140625" customWidth="1"/>
    <col min="2" max="2" width="6.42578125" customWidth="1"/>
    <col min="3" max="3" width="29.28515625" customWidth="1"/>
    <col min="4" max="4" width="23.85546875" customWidth="1"/>
    <col min="5" max="5" width="32.140625" customWidth="1"/>
    <col min="6" max="18" width="12.7109375" customWidth="1"/>
  </cols>
  <sheetData>
    <row r="1" spans="1:23" ht="7.5" customHeight="1" x14ac:dyDescent="0.25">
      <c r="A1" s="2"/>
      <c r="B1" s="1"/>
      <c r="C1" s="1"/>
      <c r="D1" s="1"/>
      <c r="E1" s="1"/>
      <c r="F1" s="1"/>
      <c r="G1" s="1"/>
      <c r="H1" s="1"/>
      <c r="I1" s="1"/>
      <c r="J1" s="1"/>
      <c r="K1" s="1"/>
      <c r="L1" s="1"/>
      <c r="M1" s="1"/>
      <c r="N1" s="1"/>
      <c r="O1" s="1"/>
      <c r="P1" s="1"/>
      <c r="Q1" s="1"/>
      <c r="R1" s="1"/>
    </row>
    <row r="2" spans="1:23" ht="39.950000000000003" customHeight="1" x14ac:dyDescent="0.25">
      <c r="A2" s="3"/>
      <c r="B2" s="272" t="s">
        <v>3</v>
      </c>
      <c r="C2" s="273"/>
      <c r="D2" s="273"/>
      <c r="E2" s="273"/>
      <c r="F2" s="273"/>
      <c r="G2" s="273"/>
      <c r="H2" s="273"/>
      <c r="I2" s="273"/>
      <c r="J2" s="273"/>
      <c r="K2" s="273"/>
      <c r="L2" s="273"/>
      <c r="M2" s="273"/>
      <c r="N2" s="273"/>
      <c r="O2" s="273"/>
      <c r="P2" s="273"/>
      <c r="Q2" s="273"/>
      <c r="R2" s="273"/>
      <c r="S2" s="273"/>
      <c r="T2" s="273"/>
      <c r="U2" s="273"/>
      <c r="V2" s="273"/>
      <c r="W2" s="273"/>
    </row>
    <row r="3" spans="1:23" ht="39.950000000000003" customHeight="1" x14ac:dyDescent="0.25">
      <c r="A3" s="3"/>
      <c r="B3" s="337" t="s">
        <v>22</v>
      </c>
      <c r="C3" s="296" t="s">
        <v>2</v>
      </c>
      <c r="D3" s="296" t="s">
        <v>4</v>
      </c>
      <c r="E3" s="296" t="s">
        <v>23</v>
      </c>
      <c r="F3" s="290" t="s">
        <v>80</v>
      </c>
      <c r="G3" s="291"/>
      <c r="H3" s="291"/>
      <c r="I3" s="291"/>
      <c r="J3" s="291"/>
      <c r="K3" s="291"/>
      <c r="L3" s="292"/>
      <c r="M3" s="335" t="s">
        <v>96</v>
      </c>
      <c r="N3" s="336"/>
      <c r="O3" s="336"/>
      <c r="P3" s="336"/>
      <c r="Q3" s="336"/>
      <c r="R3" s="336"/>
      <c r="S3" s="336"/>
      <c r="T3" s="336"/>
      <c r="U3" s="336"/>
      <c r="V3" s="336"/>
      <c r="W3" s="336"/>
    </row>
    <row r="4" spans="1:23" ht="30" customHeight="1" x14ac:dyDescent="0.25">
      <c r="A4" s="3"/>
      <c r="B4" s="338"/>
      <c r="C4" s="298"/>
      <c r="D4" s="298"/>
      <c r="E4" s="298"/>
      <c r="F4" s="7">
        <v>2013</v>
      </c>
      <c r="G4" s="7">
        <v>2014</v>
      </c>
      <c r="H4" s="7">
        <v>2015</v>
      </c>
      <c r="I4" s="7">
        <v>2016</v>
      </c>
      <c r="J4" s="7">
        <v>2017</v>
      </c>
      <c r="K4" s="7">
        <v>2018</v>
      </c>
      <c r="L4" s="7">
        <v>2019</v>
      </c>
      <c r="M4" s="7">
        <v>2020</v>
      </c>
      <c r="N4" s="7">
        <v>2021</v>
      </c>
      <c r="O4" s="7">
        <v>2022</v>
      </c>
      <c r="P4" s="7">
        <v>2023</v>
      </c>
      <c r="Q4" s="7">
        <v>2024</v>
      </c>
      <c r="R4" s="7">
        <v>2025</v>
      </c>
      <c r="S4" s="7">
        <v>2026</v>
      </c>
      <c r="T4" s="7">
        <v>2027</v>
      </c>
      <c r="U4" s="7">
        <v>2028</v>
      </c>
      <c r="V4" s="7">
        <v>2029</v>
      </c>
      <c r="W4" s="7">
        <v>2030</v>
      </c>
    </row>
    <row r="5" spans="1:23" ht="30" customHeight="1" x14ac:dyDescent="0.25">
      <c r="A5" s="2"/>
      <c r="B5" s="338"/>
      <c r="C5" s="341"/>
      <c r="D5" s="321"/>
      <c r="E5" s="5" t="s">
        <v>187</v>
      </c>
      <c r="F5" s="6" t="s">
        <v>248</v>
      </c>
      <c r="G5" s="6" t="s">
        <v>248</v>
      </c>
      <c r="H5" s="6">
        <v>3</v>
      </c>
      <c r="I5" s="6">
        <v>16</v>
      </c>
      <c r="J5" s="6">
        <v>24</v>
      </c>
      <c r="K5" s="6">
        <v>38</v>
      </c>
      <c r="L5" s="6">
        <v>43</v>
      </c>
      <c r="M5" s="182">
        <f>L5+(L5*M6)</f>
        <v>49.45</v>
      </c>
      <c r="N5" s="182">
        <f t="shared" ref="N5:V5" si="0">+M5+(0.95*(0.4*N18))</f>
        <v>62.319650000000003</v>
      </c>
      <c r="O5" s="182">
        <f t="shared" si="0"/>
        <v>80.287997500000003</v>
      </c>
      <c r="P5" s="182">
        <f t="shared" si="0"/>
        <v>102.53572212500001</v>
      </c>
      <c r="Q5" s="182">
        <f t="shared" si="0"/>
        <v>128.91266794374999</v>
      </c>
      <c r="R5" s="182">
        <f t="shared" si="0"/>
        <v>159.6421868853125</v>
      </c>
      <c r="S5" s="182">
        <f t="shared" si="0"/>
        <v>195.17914929310936</v>
      </c>
      <c r="T5" s="182">
        <f t="shared" si="0"/>
        <v>236.14566387457575</v>
      </c>
      <c r="U5" s="182">
        <f t="shared" si="0"/>
        <v>283.30665954951212</v>
      </c>
      <c r="V5" s="182">
        <f t="shared" si="0"/>
        <v>337.56655652881398</v>
      </c>
      <c r="W5" s="182">
        <f>+V5+(0.95*(0.5*W18))</f>
        <v>415.58062840726348</v>
      </c>
    </row>
    <row r="6" spans="1:23" ht="30" customHeight="1" x14ac:dyDescent="0.25">
      <c r="A6" s="2"/>
      <c r="B6" s="338"/>
      <c r="C6" s="341"/>
      <c r="D6" s="321"/>
      <c r="E6" s="5" t="s">
        <v>188</v>
      </c>
      <c r="F6" s="6" t="s">
        <v>248</v>
      </c>
      <c r="G6" s="6" t="s">
        <v>248</v>
      </c>
      <c r="H6" s="6" t="s">
        <v>248</v>
      </c>
      <c r="I6" s="33">
        <f>(I5-H5)/H5</f>
        <v>4.333333333333333</v>
      </c>
      <c r="J6" s="33">
        <f t="shared" ref="J6:L6" si="1">(J5-I5)/I5</f>
        <v>0.5</v>
      </c>
      <c r="K6" s="33">
        <f t="shared" si="1"/>
        <v>0.58333333333333337</v>
      </c>
      <c r="L6" s="33">
        <f t="shared" si="1"/>
        <v>0.13157894736842105</v>
      </c>
      <c r="M6" s="183">
        <v>0.15</v>
      </c>
      <c r="N6" s="183">
        <f>N(N5-M5)/M5</f>
        <v>0.26025581395348835</v>
      </c>
      <c r="O6" s="183">
        <f t="shared" ref="O6:W6" si="2">N(O5-N5)/N5</f>
        <v>0.28832555221346717</v>
      </c>
      <c r="P6" s="183">
        <f t="shared" si="2"/>
        <v>0.27709901003571552</v>
      </c>
      <c r="Q6" s="183">
        <f t="shared" si="2"/>
        <v>0.25724640420042283</v>
      </c>
      <c r="R6" s="183">
        <f t="shared" si="2"/>
        <v>0.23837470305843861</v>
      </c>
      <c r="S6" s="183">
        <f t="shared" si="2"/>
        <v>0.22260383111217802</v>
      </c>
      <c r="T6" s="183">
        <f t="shared" si="2"/>
        <v>0.20989185950362513</v>
      </c>
      <c r="U6" s="183">
        <f t="shared" si="2"/>
        <v>0.19971146156630271</v>
      </c>
      <c r="V6" s="183">
        <f t="shared" si="2"/>
        <v>0.19152354930724499</v>
      </c>
      <c r="W6" s="183">
        <f t="shared" si="2"/>
        <v>0.23110723017311219</v>
      </c>
    </row>
    <row r="7" spans="1:23" ht="30" customHeight="1" x14ac:dyDescent="0.25">
      <c r="A7" s="2"/>
      <c r="B7" s="338"/>
      <c r="C7" s="342" t="s">
        <v>30</v>
      </c>
      <c r="D7" s="343"/>
      <c r="E7" s="20" t="s">
        <v>59</v>
      </c>
      <c r="F7" s="21" t="s">
        <v>248</v>
      </c>
      <c r="G7" s="21" t="s">
        <v>248</v>
      </c>
      <c r="H7" s="21" t="s">
        <v>248</v>
      </c>
      <c r="I7" s="21" t="s">
        <v>248</v>
      </c>
      <c r="J7" s="21" t="s">
        <v>248</v>
      </c>
      <c r="K7" s="21" t="s">
        <v>248</v>
      </c>
      <c r="L7" s="23">
        <v>4</v>
      </c>
      <c r="M7" s="23"/>
      <c r="N7" s="23"/>
      <c r="O7" s="23"/>
      <c r="P7" s="23"/>
      <c r="Q7" s="23"/>
      <c r="R7" s="23"/>
      <c r="S7" s="23"/>
      <c r="T7" s="23"/>
      <c r="U7" s="23"/>
      <c r="V7" s="23"/>
      <c r="W7" s="23"/>
    </row>
    <row r="8" spans="1:23" ht="30" customHeight="1" x14ac:dyDescent="0.25">
      <c r="A8" s="2"/>
      <c r="B8" s="338"/>
      <c r="C8" s="344"/>
      <c r="D8" s="345"/>
      <c r="E8" s="14" t="s">
        <v>117</v>
      </c>
      <c r="F8" s="24">
        <v>1027</v>
      </c>
      <c r="G8" s="24" t="s">
        <v>49</v>
      </c>
      <c r="H8" s="25" t="s">
        <v>191</v>
      </c>
      <c r="I8" s="25" t="s">
        <v>50</v>
      </c>
      <c r="J8" s="25" t="s">
        <v>51</v>
      </c>
      <c r="K8" s="25" t="s">
        <v>81</v>
      </c>
      <c r="L8" s="25" t="s">
        <v>107</v>
      </c>
      <c r="M8" s="25"/>
      <c r="N8" s="25"/>
      <c r="O8" s="25"/>
      <c r="P8" s="25"/>
      <c r="Q8" s="25"/>
      <c r="R8" s="25"/>
      <c r="S8" s="25"/>
      <c r="T8" s="25"/>
      <c r="U8" s="25"/>
      <c r="V8" s="25"/>
      <c r="W8" s="25"/>
    </row>
    <row r="9" spans="1:23" ht="30" customHeight="1" x14ac:dyDescent="0.25">
      <c r="A9" s="2"/>
      <c r="B9" s="338"/>
      <c r="C9" s="344"/>
      <c r="D9" s="345"/>
      <c r="E9" s="14" t="s">
        <v>189</v>
      </c>
      <c r="F9" s="24">
        <v>1027</v>
      </c>
      <c r="G9" s="24">
        <v>1003</v>
      </c>
      <c r="H9" s="25">
        <v>968</v>
      </c>
      <c r="I9" s="25">
        <v>963</v>
      </c>
      <c r="J9" s="25">
        <v>950</v>
      </c>
      <c r="K9" s="25">
        <v>974</v>
      </c>
      <c r="L9" s="25">
        <v>981</v>
      </c>
      <c r="M9" s="25"/>
      <c r="N9" s="25"/>
      <c r="O9" s="25"/>
      <c r="P9" s="25"/>
      <c r="Q9" s="25"/>
      <c r="R9" s="25"/>
      <c r="S9" s="25"/>
      <c r="T9" s="25"/>
      <c r="U9" s="25"/>
      <c r="V9" s="25"/>
      <c r="W9" s="25"/>
    </row>
    <row r="10" spans="1:23" ht="30" customHeight="1" x14ac:dyDescent="0.25">
      <c r="A10" s="2"/>
      <c r="B10" s="338"/>
      <c r="C10" s="344"/>
      <c r="D10" s="345"/>
      <c r="E10" s="14" t="s">
        <v>190</v>
      </c>
      <c r="F10" s="21" t="s">
        <v>248</v>
      </c>
      <c r="G10" s="110">
        <f>(G9-F9)/F9</f>
        <v>-2.3369036027263874E-2</v>
      </c>
      <c r="H10" s="110">
        <f t="shared" ref="H10:L10" si="3">(H9-G9)/G9</f>
        <v>-3.4895314057826518E-2</v>
      </c>
      <c r="I10" s="110">
        <f t="shared" si="3"/>
        <v>-5.1652892561983473E-3</v>
      </c>
      <c r="J10" s="110">
        <f t="shared" si="3"/>
        <v>-1.3499480789200415E-2</v>
      </c>
      <c r="K10" s="110">
        <f t="shared" si="3"/>
        <v>2.5263157894736842E-2</v>
      </c>
      <c r="L10" s="110">
        <f t="shared" si="3"/>
        <v>7.1868583162217657E-3</v>
      </c>
      <c r="M10" s="25"/>
      <c r="N10" s="25"/>
      <c r="O10" s="25"/>
      <c r="P10" s="25"/>
      <c r="Q10" s="25"/>
      <c r="R10" s="25"/>
      <c r="S10" s="25"/>
      <c r="T10" s="25"/>
      <c r="U10" s="25"/>
      <c r="V10" s="25"/>
      <c r="W10" s="25"/>
    </row>
    <row r="11" spans="1:23" ht="30" customHeight="1" x14ac:dyDescent="0.25">
      <c r="A11" s="2"/>
      <c r="B11" s="338"/>
      <c r="C11" s="344"/>
      <c r="D11" s="345"/>
      <c r="E11" s="14" t="s">
        <v>116</v>
      </c>
      <c r="F11" s="24">
        <v>405</v>
      </c>
      <c r="G11" s="24" t="s">
        <v>52</v>
      </c>
      <c r="H11" s="25" t="s">
        <v>53</v>
      </c>
      <c r="I11" s="25" t="s">
        <v>54</v>
      </c>
      <c r="J11" s="25" t="s">
        <v>55</v>
      </c>
      <c r="K11" s="25" t="s">
        <v>82</v>
      </c>
      <c r="L11" s="25" t="s">
        <v>193</v>
      </c>
      <c r="M11" s="25"/>
      <c r="N11" s="25"/>
      <c r="O11" s="25"/>
      <c r="P11" s="25"/>
      <c r="Q11" s="25"/>
      <c r="R11" s="25"/>
      <c r="S11" s="25"/>
      <c r="T11" s="25"/>
      <c r="U11" s="25"/>
      <c r="V11" s="25"/>
      <c r="W11" s="25"/>
    </row>
    <row r="12" spans="1:23" ht="30" hidden="1" customHeight="1" x14ac:dyDescent="0.25">
      <c r="A12" s="2"/>
      <c r="B12" s="338"/>
      <c r="C12" s="344"/>
      <c r="D12" s="345"/>
      <c r="E12" s="14" t="s">
        <v>192</v>
      </c>
      <c r="F12" s="24">
        <v>405</v>
      </c>
      <c r="G12" s="24">
        <v>378</v>
      </c>
      <c r="H12" s="25">
        <v>322</v>
      </c>
      <c r="I12" s="25">
        <v>312</v>
      </c>
      <c r="J12" s="25">
        <v>282</v>
      </c>
      <c r="K12" s="25">
        <v>285</v>
      </c>
      <c r="L12" s="25">
        <v>295</v>
      </c>
      <c r="M12" s="25"/>
      <c r="N12" s="25"/>
      <c r="O12" s="25"/>
      <c r="P12" s="25"/>
      <c r="Q12" s="25"/>
      <c r="R12" s="25"/>
      <c r="S12" s="25"/>
      <c r="T12" s="25"/>
      <c r="U12" s="25"/>
      <c r="V12" s="25"/>
      <c r="W12" s="25"/>
    </row>
    <row r="13" spans="1:23" ht="30" hidden="1" customHeight="1" x14ac:dyDescent="0.25">
      <c r="A13" s="2"/>
      <c r="B13" s="338"/>
      <c r="C13" s="344"/>
      <c r="D13" s="345"/>
      <c r="E13" s="14" t="s">
        <v>190</v>
      </c>
      <c r="F13" s="24" t="s">
        <v>29</v>
      </c>
      <c r="G13" s="110">
        <f>(G12-F12)/F12</f>
        <v>-6.6666666666666666E-2</v>
      </c>
      <c r="H13" s="110">
        <f t="shared" ref="H13:L13" si="4">(H12-G12)/G12</f>
        <v>-0.14814814814814814</v>
      </c>
      <c r="I13" s="110">
        <f t="shared" si="4"/>
        <v>-3.1055900621118012E-2</v>
      </c>
      <c r="J13" s="110">
        <f t="shared" si="4"/>
        <v>-9.6153846153846159E-2</v>
      </c>
      <c r="K13" s="110">
        <f t="shared" si="4"/>
        <v>1.0638297872340425E-2</v>
      </c>
      <c r="L13" s="110">
        <f t="shared" si="4"/>
        <v>3.5087719298245612E-2</v>
      </c>
      <c r="M13" s="25"/>
      <c r="N13" s="25"/>
      <c r="O13" s="25"/>
      <c r="P13" s="25"/>
      <c r="Q13" s="25"/>
      <c r="R13" s="25"/>
      <c r="S13" s="25"/>
      <c r="T13" s="25"/>
      <c r="U13" s="25"/>
      <c r="V13" s="25"/>
      <c r="W13" s="25"/>
    </row>
    <row r="14" spans="1:23" ht="30" customHeight="1" x14ac:dyDescent="0.25">
      <c r="A14" s="2"/>
      <c r="B14" s="338"/>
      <c r="C14" s="344"/>
      <c r="D14" s="345"/>
      <c r="E14" s="14" t="s">
        <v>115</v>
      </c>
      <c r="F14" s="24">
        <v>60</v>
      </c>
      <c r="G14" s="24" t="s">
        <v>56</v>
      </c>
      <c r="H14" s="25" t="s">
        <v>57</v>
      </c>
      <c r="I14" s="25" t="s">
        <v>58</v>
      </c>
      <c r="J14" s="25" t="s">
        <v>195</v>
      </c>
      <c r="K14" s="25" t="s">
        <v>127</v>
      </c>
      <c r="L14" s="25" t="s">
        <v>108</v>
      </c>
      <c r="M14" s="25"/>
      <c r="N14" s="25"/>
      <c r="O14" s="25"/>
      <c r="P14" s="25"/>
      <c r="Q14" s="25"/>
      <c r="R14" s="25"/>
      <c r="S14" s="25"/>
      <c r="T14" s="25"/>
      <c r="U14" s="25"/>
      <c r="V14" s="25"/>
      <c r="W14" s="25"/>
    </row>
    <row r="15" spans="1:23" ht="30" hidden="1" customHeight="1" x14ac:dyDescent="0.25">
      <c r="A15" s="2"/>
      <c r="B15" s="338"/>
      <c r="C15" s="344"/>
      <c r="D15" s="345"/>
      <c r="E15" s="14" t="s">
        <v>194</v>
      </c>
      <c r="F15" s="24">
        <v>60</v>
      </c>
      <c r="G15" s="24">
        <v>67</v>
      </c>
      <c r="H15" s="25">
        <v>71</v>
      </c>
      <c r="I15" s="25">
        <v>72</v>
      </c>
      <c r="J15" s="25">
        <v>75</v>
      </c>
      <c r="K15" s="25">
        <v>81</v>
      </c>
      <c r="L15" s="25">
        <v>81</v>
      </c>
      <c r="M15" s="25"/>
      <c r="N15" s="25"/>
      <c r="O15" s="25"/>
      <c r="P15" s="25"/>
      <c r="Q15" s="25"/>
      <c r="R15" s="25"/>
      <c r="S15" s="25"/>
      <c r="T15" s="25"/>
      <c r="U15" s="25"/>
      <c r="V15" s="25"/>
      <c r="W15" s="25"/>
    </row>
    <row r="16" spans="1:23" ht="30" hidden="1" customHeight="1" x14ac:dyDescent="0.25">
      <c r="A16" s="2"/>
      <c r="B16" s="338"/>
      <c r="C16" s="344"/>
      <c r="D16" s="345"/>
      <c r="E16" s="14" t="s">
        <v>190</v>
      </c>
      <c r="F16" s="24" t="s">
        <v>29</v>
      </c>
      <c r="G16" s="110">
        <f>(G15-F15)/F15</f>
        <v>0.11666666666666667</v>
      </c>
      <c r="H16" s="110">
        <f t="shared" ref="H16:L16" si="5">(H15-G15)/G15</f>
        <v>5.9701492537313432E-2</v>
      </c>
      <c r="I16" s="110">
        <f t="shared" si="5"/>
        <v>1.4084507042253521E-2</v>
      </c>
      <c r="J16" s="110">
        <f t="shared" si="5"/>
        <v>4.1666666666666664E-2</v>
      </c>
      <c r="K16" s="110">
        <f t="shared" si="5"/>
        <v>0.08</v>
      </c>
      <c r="L16" s="110">
        <f t="shared" si="5"/>
        <v>0</v>
      </c>
      <c r="M16" s="25"/>
      <c r="N16" s="25"/>
      <c r="O16" s="25"/>
      <c r="P16" s="25"/>
      <c r="Q16" s="25"/>
      <c r="R16" s="25"/>
      <c r="S16" s="25"/>
      <c r="T16" s="25"/>
      <c r="U16" s="25"/>
      <c r="V16" s="25"/>
      <c r="W16" s="25"/>
    </row>
    <row r="17" spans="1:23" ht="30" customHeight="1" x14ac:dyDescent="0.25">
      <c r="A17" s="2"/>
      <c r="B17" s="338"/>
      <c r="C17" s="346"/>
      <c r="D17" s="347"/>
      <c r="E17" s="14" t="s">
        <v>179</v>
      </c>
      <c r="F17" s="24"/>
      <c r="G17" s="24"/>
      <c r="H17" s="25"/>
      <c r="I17" s="25"/>
      <c r="J17" s="25"/>
      <c r="K17" s="25"/>
      <c r="L17" s="25"/>
      <c r="M17" s="25"/>
      <c r="N17" s="25"/>
      <c r="O17" s="25"/>
      <c r="P17" s="25"/>
      <c r="Q17" s="25"/>
      <c r="R17" s="25"/>
      <c r="S17" s="25"/>
      <c r="T17" s="25"/>
      <c r="U17" s="25"/>
      <c r="V17" s="25"/>
      <c r="W17" s="25"/>
    </row>
    <row r="18" spans="1:23" ht="30" customHeight="1" x14ac:dyDescent="0.25">
      <c r="A18" s="2"/>
      <c r="B18" s="338"/>
      <c r="C18" s="308"/>
      <c r="D18" s="320"/>
      <c r="E18" s="11" t="s">
        <v>196</v>
      </c>
      <c r="F18" s="35" t="s">
        <v>248</v>
      </c>
      <c r="G18" s="35" t="s">
        <v>248</v>
      </c>
      <c r="H18" s="35">
        <v>24</v>
      </c>
      <c r="I18" s="35">
        <v>16</v>
      </c>
      <c r="J18" s="35">
        <v>18</v>
      </c>
      <c r="K18" s="35">
        <v>14</v>
      </c>
      <c r="L18" s="35">
        <v>13</v>
      </c>
      <c r="M18" s="182">
        <f>L18+(L18*M19)</f>
        <v>14.95</v>
      </c>
      <c r="N18" s="182">
        <f t="shared" ref="N18:W18" si="6">N19*N32+(0.5*M18)</f>
        <v>33.8675</v>
      </c>
      <c r="O18" s="182">
        <f t="shared" si="6"/>
        <v>47.285124999999994</v>
      </c>
      <c r="P18" s="182">
        <f t="shared" si="6"/>
        <v>58.546643749999994</v>
      </c>
      <c r="Q18" s="182">
        <f t="shared" si="6"/>
        <v>69.413015312499994</v>
      </c>
      <c r="R18" s="182">
        <f t="shared" si="6"/>
        <v>80.867155109375005</v>
      </c>
      <c r="S18" s="182">
        <f t="shared" si="6"/>
        <v>93.518322125781239</v>
      </c>
      <c r="T18" s="182">
        <f t="shared" si="6"/>
        <v>107.80661731964842</v>
      </c>
      <c r="U18" s="182">
        <f t="shared" si="6"/>
        <v>124.10788335509571</v>
      </c>
      <c r="V18" s="182">
        <f t="shared" si="6"/>
        <v>142.78920257711007</v>
      </c>
      <c r="W18" s="182">
        <f t="shared" si="6"/>
        <v>164.24015132305158</v>
      </c>
    </row>
    <row r="19" spans="1:23" ht="30" customHeight="1" x14ac:dyDescent="0.25">
      <c r="A19" s="2"/>
      <c r="B19" s="338"/>
      <c r="C19" s="308"/>
      <c r="D19" s="320"/>
      <c r="E19" s="11" t="s">
        <v>190</v>
      </c>
      <c r="F19" s="35" t="s">
        <v>248</v>
      </c>
      <c r="G19" s="35" t="s">
        <v>248</v>
      </c>
      <c r="H19" s="35" t="s">
        <v>248</v>
      </c>
      <c r="I19" s="41">
        <f>(I18-H18)/H18</f>
        <v>-0.33333333333333331</v>
      </c>
      <c r="J19" s="41">
        <f t="shared" ref="J19:L19" si="7">(J18-I18)/I18</f>
        <v>0.125</v>
      </c>
      <c r="K19" s="41">
        <f t="shared" si="7"/>
        <v>-0.22222222222222221</v>
      </c>
      <c r="L19" s="41">
        <f t="shared" si="7"/>
        <v>-7.1428571428571425E-2</v>
      </c>
      <c r="M19" s="183">
        <v>0.15</v>
      </c>
      <c r="N19" s="183">
        <v>0.9</v>
      </c>
      <c r="O19" s="183">
        <v>0.9</v>
      </c>
      <c r="P19" s="183">
        <v>0.9</v>
      </c>
      <c r="Q19" s="183">
        <v>0.9</v>
      </c>
      <c r="R19" s="183">
        <v>0.9</v>
      </c>
      <c r="S19" s="183">
        <v>0.9</v>
      </c>
      <c r="T19" s="183">
        <v>0.9</v>
      </c>
      <c r="U19" s="183">
        <v>0.9</v>
      </c>
      <c r="V19" s="183">
        <v>0.9</v>
      </c>
      <c r="W19" s="183">
        <v>0.9</v>
      </c>
    </row>
    <row r="20" spans="1:23" ht="30" customHeight="1" x14ac:dyDescent="0.25">
      <c r="A20" s="2"/>
      <c r="B20" s="338"/>
      <c r="C20" s="322" t="s">
        <v>30</v>
      </c>
      <c r="D20" s="323"/>
      <c r="E20" s="14" t="s">
        <v>113</v>
      </c>
      <c r="F20" s="25">
        <v>8</v>
      </c>
      <c r="G20" s="25" t="s">
        <v>198</v>
      </c>
      <c r="H20" s="25" t="s">
        <v>199</v>
      </c>
      <c r="I20" s="25" t="s">
        <v>86</v>
      </c>
      <c r="J20" s="25" t="s">
        <v>200</v>
      </c>
      <c r="K20" s="25" t="s">
        <v>84</v>
      </c>
      <c r="L20" s="25" t="s">
        <v>177</v>
      </c>
      <c r="M20" s="23"/>
      <c r="N20" s="23"/>
      <c r="O20" s="23"/>
      <c r="P20" s="23"/>
      <c r="Q20" s="23"/>
      <c r="R20" s="23"/>
      <c r="S20" s="23"/>
      <c r="T20" s="23"/>
      <c r="U20" s="23"/>
      <c r="V20" s="23"/>
      <c r="W20" s="23"/>
    </row>
    <row r="21" spans="1:23" ht="30" hidden="1" customHeight="1" x14ac:dyDescent="0.25">
      <c r="A21" s="2"/>
      <c r="B21" s="338"/>
      <c r="C21" s="324"/>
      <c r="D21" s="285"/>
      <c r="E21" s="14" t="s">
        <v>197</v>
      </c>
      <c r="F21" s="25">
        <v>8</v>
      </c>
      <c r="G21" s="25">
        <v>13</v>
      </c>
      <c r="H21" s="25">
        <v>11</v>
      </c>
      <c r="I21" s="25">
        <v>15</v>
      </c>
      <c r="J21" s="25">
        <v>16</v>
      </c>
      <c r="K21" s="25">
        <v>22</v>
      </c>
      <c r="L21" s="25">
        <v>18</v>
      </c>
      <c r="M21" s="23"/>
      <c r="N21" s="23"/>
      <c r="O21" s="23"/>
      <c r="P21" s="23"/>
      <c r="Q21" s="23"/>
      <c r="R21" s="23"/>
      <c r="S21" s="23"/>
      <c r="T21" s="23"/>
      <c r="U21" s="23"/>
      <c r="V21" s="23"/>
      <c r="W21" s="23"/>
    </row>
    <row r="22" spans="1:23" ht="30" hidden="1" customHeight="1" x14ac:dyDescent="0.25">
      <c r="A22" s="2"/>
      <c r="B22" s="338"/>
      <c r="C22" s="324"/>
      <c r="D22" s="285"/>
      <c r="E22" s="14" t="s">
        <v>190</v>
      </c>
      <c r="F22" s="25" t="s">
        <v>29</v>
      </c>
      <c r="G22" s="110">
        <f>(G21-F21)/F21</f>
        <v>0.625</v>
      </c>
      <c r="H22" s="110">
        <f t="shared" ref="H22:L22" si="8">(H21-G21)/G21</f>
        <v>-0.15384615384615385</v>
      </c>
      <c r="I22" s="110">
        <f t="shared" si="8"/>
        <v>0.36363636363636365</v>
      </c>
      <c r="J22" s="110">
        <f t="shared" si="8"/>
        <v>6.6666666666666666E-2</v>
      </c>
      <c r="K22" s="110">
        <f t="shared" si="8"/>
        <v>0.375</v>
      </c>
      <c r="L22" s="110">
        <f t="shared" si="8"/>
        <v>-0.18181818181818182</v>
      </c>
      <c r="M22" s="23"/>
      <c r="N22" s="23"/>
      <c r="O22" s="23"/>
      <c r="P22" s="23"/>
      <c r="Q22" s="23"/>
      <c r="R22" s="23"/>
      <c r="S22" s="23"/>
      <c r="T22" s="23"/>
      <c r="U22" s="23"/>
      <c r="V22" s="23"/>
      <c r="W22" s="23"/>
    </row>
    <row r="23" spans="1:23" ht="30" customHeight="1" x14ac:dyDescent="0.25">
      <c r="A23" s="2"/>
      <c r="B23" s="338"/>
      <c r="C23" s="325"/>
      <c r="D23" s="326"/>
      <c r="E23" s="14" t="s">
        <v>178</v>
      </c>
      <c r="F23" s="25"/>
      <c r="G23" s="25"/>
      <c r="H23" s="25"/>
      <c r="I23" s="25"/>
      <c r="J23" s="25"/>
      <c r="K23" s="25"/>
      <c r="L23" s="25"/>
      <c r="M23" s="23"/>
      <c r="N23" s="23"/>
      <c r="O23" s="23"/>
      <c r="P23" s="23"/>
      <c r="Q23" s="23"/>
      <c r="R23" s="23"/>
      <c r="S23" s="23"/>
      <c r="T23" s="23"/>
      <c r="U23" s="23"/>
      <c r="V23" s="23"/>
      <c r="W23" s="23"/>
    </row>
    <row r="24" spans="1:23" ht="30" customHeight="1" x14ac:dyDescent="0.25">
      <c r="A24" s="2"/>
      <c r="B24" s="338"/>
      <c r="C24" s="327" t="s">
        <v>60</v>
      </c>
      <c r="D24" s="330" t="s">
        <v>394</v>
      </c>
      <c r="E24" s="5" t="s">
        <v>114</v>
      </c>
      <c r="F24" s="6" t="s">
        <v>248</v>
      </c>
      <c r="G24" s="6">
        <v>14</v>
      </c>
      <c r="H24" s="6" t="s">
        <v>202</v>
      </c>
      <c r="I24" s="6" t="s">
        <v>83</v>
      </c>
      <c r="J24" s="6" t="s">
        <v>84</v>
      </c>
      <c r="K24" s="6" t="s">
        <v>85</v>
      </c>
      <c r="L24" s="6" t="s">
        <v>203</v>
      </c>
      <c r="M24" s="50">
        <v>21</v>
      </c>
      <c r="N24" s="50">
        <v>24</v>
      </c>
      <c r="O24" s="50">
        <v>28</v>
      </c>
      <c r="P24" s="50">
        <v>32</v>
      </c>
      <c r="Q24" s="50">
        <v>37</v>
      </c>
      <c r="R24" s="50">
        <v>43</v>
      </c>
      <c r="S24" s="50">
        <v>49</v>
      </c>
      <c r="T24" s="50">
        <v>57</v>
      </c>
      <c r="U24" s="50">
        <v>65</v>
      </c>
      <c r="V24" s="50">
        <v>75</v>
      </c>
      <c r="W24" s="50">
        <v>86</v>
      </c>
    </row>
    <row r="25" spans="1:23" ht="30" customHeight="1" x14ac:dyDescent="0.25">
      <c r="A25" s="2"/>
      <c r="B25" s="338"/>
      <c r="C25" s="328"/>
      <c r="D25" s="331"/>
      <c r="E25" s="5" t="s">
        <v>201</v>
      </c>
      <c r="F25" s="6" t="s">
        <v>248</v>
      </c>
      <c r="G25" s="6">
        <v>14</v>
      </c>
      <c r="H25" s="6">
        <v>20</v>
      </c>
      <c r="I25" s="6">
        <v>16</v>
      </c>
      <c r="J25" s="6">
        <v>22</v>
      </c>
      <c r="K25" s="6">
        <v>12</v>
      </c>
      <c r="L25" s="6">
        <v>17</v>
      </c>
      <c r="M25" s="185">
        <f>L25+(L25*M26)</f>
        <v>21.25</v>
      </c>
      <c r="N25" s="185">
        <f t="shared" ref="N25:Q25" si="9">M25+(M25*N26)</f>
        <v>24.4375</v>
      </c>
      <c r="O25" s="185">
        <f t="shared" si="9"/>
        <v>28.103124999999999</v>
      </c>
      <c r="P25" s="185">
        <f t="shared" si="9"/>
        <v>32.318593749999998</v>
      </c>
      <c r="Q25" s="185">
        <f t="shared" si="9"/>
        <v>37.166382812499997</v>
      </c>
      <c r="R25" s="185">
        <f>Q25+(Q25*R26)</f>
        <v>42.741340234374995</v>
      </c>
      <c r="S25" s="185">
        <f t="shared" ref="S25:W25" si="10">R25+(R25*S26)</f>
        <v>49.152541269531241</v>
      </c>
      <c r="T25" s="185">
        <f t="shared" si="10"/>
        <v>56.525422459960929</v>
      </c>
      <c r="U25" s="185">
        <f t="shared" si="10"/>
        <v>65.004235828955075</v>
      </c>
      <c r="V25" s="185">
        <f t="shared" si="10"/>
        <v>74.754871203298336</v>
      </c>
      <c r="W25" s="185">
        <f t="shared" si="10"/>
        <v>85.968101883793082</v>
      </c>
    </row>
    <row r="26" spans="1:23" ht="30" customHeight="1" x14ac:dyDescent="0.25">
      <c r="A26" s="2"/>
      <c r="B26" s="338"/>
      <c r="C26" s="328"/>
      <c r="D26" s="331"/>
      <c r="E26" s="5" t="s">
        <v>190</v>
      </c>
      <c r="F26" s="6" t="s">
        <v>248</v>
      </c>
      <c r="G26" s="6" t="s">
        <v>248</v>
      </c>
      <c r="H26" s="33">
        <f>(H25-G25)/G25</f>
        <v>0.42857142857142855</v>
      </c>
      <c r="I26" s="33">
        <f t="shared" ref="I26:L26" si="11">(I25-H25)/H25</f>
        <v>-0.2</v>
      </c>
      <c r="J26" s="33">
        <f t="shared" si="11"/>
        <v>0.375</v>
      </c>
      <c r="K26" s="33">
        <f t="shared" si="11"/>
        <v>-0.45454545454545453</v>
      </c>
      <c r="L26" s="33">
        <f t="shared" si="11"/>
        <v>0.41666666666666669</v>
      </c>
      <c r="M26" s="54">
        <v>0.25</v>
      </c>
      <c r="N26" s="54">
        <v>0.15</v>
      </c>
      <c r="O26" s="54">
        <v>0.15</v>
      </c>
      <c r="P26" s="54">
        <v>0.15</v>
      </c>
      <c r="Q26" s="54">
        <v>0.15</v>
      </c>
      <c r="R26" s="54">
        <v>0.15</v>
      </c>
      <c r="S26" s="54">
        <v>0.15</v>
      </c>
      <c r="T26" s="54">
        <v>0.15</v>
      </c>
      <c r="U26" s="54">
        <v>0.15</v>
      </c>
      <c r="V26" s="54">
        <v>0.15</v>
      </c>
      <c r="W26" s="54">
        <v>0.15</v>
      </c>
    </row>
    <row r="27" spans="1:23" ht="18.75" customHeight="1" x14ac:dyDescent="0.25">
      <c r="A27" s="2"/>
      <c r="B27" s="338"/>
      <c r="C27" s="328"/>
      <c r="D27" s="331"/>
      <c r="E27" s="333" t="s">
        <v>255</v>
      </c>
      <c r="F27" s="334"/>
      <c r="G27" s="334"/>
      <c r="H27" s="334"/>
      <c r="I27" s="334"/>
      <c r="J27" s="334"/>
      <c r="K27" s="334"/>
      <c r="L27" s="334"/>
      <c r="M27" s="334"/>
      <c r="N27" s="334"/>
      <c r="O27" s="334"/>
      <c r="P27" s="334"/>
      <c r="Q27" s="334"/>
      <c r="R27" s="334"/>
      <c r="S27" s="334"/>
      <c r="T27" s="334"/>
      <c r="U27" s="334"/>
      <c r="V27" s="334"/>
      <c r="W27" s="334"/>
    </row>
    <row r="28" spans="1:23" ht="30" customHeight="1" x14ac:dyDescent="0.25">
      <c r="A28" s="2"/>
      <c r="B28" s="338"/>
      <c r="C28" s="328"/>
      <c r="D28" s="331"/>
      <c r="E28" s="11" t="s">
        <v>305</v>
      </c>
      <c r="F28" s="35" t="s">
        <v>248</v>
      </c>
      <c r="G28" s="35" t="s">
        <v>248</v>
      </c>
      <c r="H28" s="35" t="s">
        <v>248</v>
      </c>
      <c r="I28" s="35" t="s">
        <v>248</v>
      </c>
      <c r="J28" s="35" t="s">
        <v>248</v>
      </c>
      <c r="K28" s="35" t="s">
        <v>248</v>
      </c>
      <c r="L28" s="35" t="s">
        <v>248</v>
      </c>
      <c r="M28" s="131" t="s">
        <v>248</v>
      </c>
      <c r="N28" s="131">
        <v>0.05</v>
      </c>
      <c r="O28" s="131">
        <v>0.05</v>
      </c>
      <c r="P28" s="131">
        <v>0.05</v>
      </c>
      <c r="Q28" s="131">
        <v>0.05</v>
      </c>
      <c r="R28" s="131">
        <v>0.05</v>
      </c>
      <c r="S28" s="131">
        <v>0.05</v>
      </c>
      <c r="T28" s="131">
        <v>0.05</v>
      </c>
      <c r="U28" s="131">
        <v>0.05</v>
      </c>
      <c r="V28" s="131">
        <v>0.05</v>
      </c>
      <c r="W28" s="131">
        <v>0.05</v>
      </c>
    </row>
    <row r="29" spans="1:23" ht="30" customHeight="1" x14ac:dyDescent="0.25">
      <c r="A29" s="2"/>
      <c r="B29" s="338"/>
      <c r="C29" s="328"/>
      <c r="D29" s="331"/>
      <c r="E29" s="11" t="s">
        <v>304</v>
      </c>
      <c r="F29" s="35" t="s">
        <v>248</v>
      </c>
      <c r="G29" s="35" t="s">
        <v>248</v>
      </c>
      <c r="H29" s="35" t="s">
        <v>248</v>
      </c>
      <c r="I29" s="35" t="s">
        <v>248</v>
      </c>
      <c r="J29" s="35" t="s">
        <v>248</v>
      </c>
      <c r="K29" s="35" t="s">
        <v>248</v>
      </c>
      <c r="L29" s="35" t="s">
        <v>248</v>
      </c>
      <c r="M29" s="131" t="s">
        <v>248</v>
      </c>
      <c r="N29" s="131">
        <v>0.05</v>
      </c>
      <c r="O29" s="131">
        <v>0.05</v>
      </c>
      <c r="P29" s="131">
        <v>0.05</v>
      </c>
      <c r="Q29" s="131">
        <v>0.05</v>
      </c>
      <c r="R29" s="131">
        <v>0.05</v>
      </c>
      <c r="S29" s="131">
        <v>0.05</v>
      </c>
      <c r="T29" s="131">
        <v>0.05</v>
      </c>
      <c r="U29" s="131">
        <v>0.05</v>
      </c>
      <c r="V29" s="131">
        <v>0.05</v>
      </c>
      <c r="W29" s="131">
        <v>0.05</v>
      </c>
    </row>
    <row r="30" spans="1:23" ht="30" customHeight="1" x14ac:dyDescent="0.25">
      <c r="A30" s="2"/>
      <c r="B30" s="338"/>
      <c r="C30" s="328"/>
      <c r="D30" s="331"/>
      <c r="E30" s="11" t="s">
        <v>251</v>
      </c>
      <c r="F30" s="35" t="s">
        <v>248</v>
      </c>
      <c r="G30" s="35" t="s">
        <v>248</v>
      </c>
      <c r="H30" s="35" t="s">
        <v>248</v>
      </c>
      <c r="I30" s="35" t="s">
        <v>248</v>
      </c>
      <c r="J30" s="35" t="s">
        <v>248</v>
      </c>
      <c r="K30" s="35" t="s">
        <v>248</v>
      </c>
      <c r="L30" s="35" t="s">
        <v>248</v>
      </c>
      <c r="M30" s="131" t="s">
        <v>248</v>
      </c>
      <c r="N30" s="131">
        <v>0.05</v>
      </c>
      <c r="O30" s="131">
        <v>0.05</v>
      </c>
      <c r="P30" s="131">
        <v>0.05</v>
      </c>
      <c r="Q30" s="131">
        <v>0.05</v>
      </c>
      <c r="R30" s="131">
        <v>0.05</v>
      </c>
      <c r="S30" s="131">
        <v>0.05</v>
      </c>
      <c r="T30" s="131">
        <v>0.05</v>
      </c>
      <c r="U30" s="131">
        <v>0.05</v>
      </c>
      <c r="V30" s="131">
        <v>0.05</v>
      </c>
      <c r="W30" s="131">
        <v>0.05</v>
      </c>
    </row>
    <row r="31" spans="1:23" ht="30" customHeight="1" x14ac:dyDescent="0.25">
      <c r="A31" s="2"/>
      <c r="B31" s="338"/>
      <c r="C31" s="328"/>
      <c r="D31" s="331"/>
      <c r="E31" s="132" t="s">
        <v>252</v>
      </c>
      <c r="F31" s="35" t="s">
        <v>248</v>
      </c>
      <c r="G31" s="35" t="s">
        <v>248</v>
      </c>
      <c r="H31" s="35" t="s">
        <v>248</v>
      </c>
      <c r="I31" s="35" t="s">
        <v>248</v>
      </c>
      <c r="J31" s="35" t="s">
        <v>248</v>
      </c>
      <c r="K31" s="35" t="s">
        <v>248</v>
      </c>
      <c r="L31" s="35" t="s">
        <v>248</v>
      </c>
      <c r="M31" s="131" t="s">
        <v>248</v>
      </c>
      <c r="N31" s="131">
        <v>0.05</v>
      </c>
      <c r="O31" s="131">
        <v>0.05</v>
      </c>
      <c r="P31" s="131">
        <v>0.05</v>
      </c>
      <c r="Q31" s="131">
        <v>0.05</v>
      </c>
      <c r="R31" s="131">
        <v>0.05</v>
      </c>
      <c r="S31" s="131">
        <v>0.05</v>
      </c>
      <c r="T31" s="131">
        <v>0.05</v>
      </c>
      <c r="U31" s="131">
        <v>0.05</v>
      </c>
      <c r="V31" s="131">
        <v>0.05</v>
      </c>
      <c r="W31" s="131">
        <v>0.05</v>
      </c>
    </row>
    <row r="32" spans="1:23" ht="30" customHeight="1" x14ac:dyDescent="0.25">
      <c r="A32" s="2"/>
      <c r="B32" s="338"/>
      <c r="C32" s="329"/>
      <c r="D32" s="332"/>
      <c r="E32" s="159" t="s">
        <v>201</v>
      </c>
      <c r="F32" s="50"/>
      <c r="G32" s="50"/>
      <c r="H32" s="50"/>
      <c r="I32" s="50"/>
      <c r="J32" s="50"/>
      <c r="K32" s="50"/>
      <c r="L32" s="50"/>
      <c r="M32" s="184">
        <v>21</v>
      </c>
      <c r="N32" s="182">
        <f>SUM(N28:N31)*N25+N25</f>
        <v>29.324999999999999</v>
      </c>
      <c r="O32" s="182">
        <f t="shared" ref="O32:W32" si="12">SUM(O28:O31)*O25+O25</f>
        <v>33.723749999999995</v>
      </c>
      <c r="P32" s="182">
        <f t="shared" si="12"/>
        <v>38.782312499999996</v>
      </c>
      <c r="Q32" s="182">
        <f t="shared" si="12"/>
        <v>44.599659374999995</v>
      </c>
      <c r="R32" s="182">
        <f t="shared" si="12"/>
        <v>51.289608281249997</v>
      </c>
      <c r="S32" s="182">
        <f t="shared" si="12"/>
        <v>58.983049523437487</v>
      </c>
      <c r="T32" s="182">
        <f t="shared" si="12"/>
        <v>67.830506951953112</v>
      </c>
      <c r="U32" s="182">
        <f t="shared" si="12"/>
        <v>78.00508299474609</v>
      </c>
      <c r="V32" s="182">
        <f t="shared" si="12"/>
        <v>89.705845443957998</v>
      </c>
      <c r="W32" s="182">
        <f t="shared" si="12"/>
        <v>103.1617222605517</v>
      </c>
    </row>
    <row r="33" spans="1:23" ht="30" customHeight="1" x14ac:dyDescent="0.25">
      <c r="A33" s="2"/>
      <c r="B33" s="338"/>
      <c r="C33" s="38" t="s">
        <v>61</v>
      </c>
      <c r="D33" s="38"/>
      <c r="E33" s="71" t="s">
        <v>22</v>
      </c>
      <c r="F33" s="35" t="s">
        <v>109</v>
      </c>
      <c r="G33" s="35" t="s">
        <v>109</v>
      </c>
      <c r="H33" s="35" t="s">
        <v>109</v>
      </c>
      <c r="I33" s="35" t="s">
        <v>109</v>
      </c>
      <c r="J33" s="35" t="s">
        <v>109</v>
      </c>
      <c r="K33" s="35" t="s">
        <v>109</v>
      </c>
      <c r="L33" s="35">
        <v>255</v>
      </c>
      <c r="M33" s="50"/>
      <c r="N33" s="50"/>
      <c r="O33" s="50"/>
      <c r="P33" s="50"/>
      <c r="Q33" s="50"/>
      <c r="R33" s="50"/>
      <c r="S33" s="50"/>
      <c r="T33" s="50"/>
      <c r="U33" s="50"/>
      <c r="V33" s="50"/>
      <c r="W33" s="50"/>
    </row>
    <row r="34" spans="1:23" ht="30" customHeight="1" x14ac:dyDescent="0.25">
      <c r="A34" s="2"/>
      <c r="B34" s="338"/>
      <c r="C34" s="37" t="s">
        <v>69</v>
      </c>
      <c r="D34" s="37"/>
      <c r="E34" s="5" t="s">
        <v>118</v>
      </c>
      <c r="F34" s="6">
        <v>4</v>
      </c>
      <c r="G34" s="6" t="s">
        <v>206</v>
      </c>
      <c r="H34" s="6" t="s">
        <v>87</v>
      </c>
      <c r="I34" s="6" t="s">
        <v>88</v>
      </c>
      <c r="J34" s="6" t="s">
        <v>205</v>
      </c>
      <c r="K34" s="6" t="s">
        <v>89</v>
      </c>
      <c r="L34" s="6" t="s">
        <v>90</v>
      </c>
      <c r="M34" s="50">
        <v>2</v>
      </c>
      <c r="N34" s="50">
        <v>4</v>
      </c>
      <c r="O34" s="50">
        <v>10</v>
      </c>
      <c r="P34" s="50">
        <v>12</v>
      </c>
      <c r="Q34" s="50">
        <v>13</v>
      </c>
      <c r="R34" s="50">
        <v>9</v>
      </c>
      <c r="S34" s="50">
        <v>6</v>
      </c>
      <c r="T34" s="50">
        <v>5</v>
      </c>
      <c r="U34" s="50">
        <v>5</v>
      </c>
      <c r="V34" s="50">
        <v>5</v>
      </c>
      <c r="W34" s="50">
        <v>5</v>
      </c>
    </row>
    <row r="35" spans="1:23" ht="30" customHeight="1" x14ac:dyDescent="0.25">
      <c r="A35" s="2"/>
      <c r="B35" s="338"/>
      <c r="C35" s="105"/>
      <c r="D35" s="105"/>
      <c r="E35" s="5" t="s">
        <v>204</v>
      </c>
      <c r="F35" s="6">
        <v>4</v>
      </c>
      <c r="G35" s="6">
        <v>10</v>
      </c>
      <c r="H35" s="6">
        <v>3</v>
      </c>
      <c r="I35" s="6">
        <v>15</v>
      </c>
      <c r="J35" s="6">
        <v>5</v>
      </c>
      <c r="K35" s="6">
        <v>1</v>
      </c>
      <c r="L35" s="6">
        <v>2</v>
      </c>
      <c r="M35" s="108">
        <f>L35+(L35*M36)</f>
        <v>2</v>
      </c>
      <c r="N35" s="108">
        <f t="shared" ref="N35:Q35" si="13">M35+(M35*N36)</f>
        <v>4</v>
      </c>
      <c r="O35" s="108">
        <f t="shared" si="13"/>
        <v>10</v>
      </c>
      <c r="P35" s="108">
        <f t="shared" si="13"/>
        <v>12</v>
      </c>
      <c r="Q35" s="108">
        <f t="shared" si="13"/>
        <v>13.2</v>
      </c>
      <c r="R35" s="108">
        <f>Q35+(Q35*R36)</f>
        <v>9.24</v>
      </c>
      <c r="S35" s="108">
        <f t="shared" ref="S35:W35" si="14">R35+(R35*S36)</f>
        <v>5.5440000000000005</v>
      </c>
      <c r="T35" s="108">
        <f t="shared" si="14"/>
        <v>4.9896000000000003</v>
      </c>
      <c r="U35" s="108">
        <f t="shared" si="14"/>
        <v>4.9896000000000003</v>
      </c>
      <c r="V35" s="108">
        <f t="shared" si="14"/>
        <v>4.9896000000000003</v>
      </c>
      <c r="W35" s="108">
        <f t="shared" si="14"/>
        <v>4.9896000000000003</v>
      </c>
    </row>
    <row r="36" spans="1:23" ht="30" customHeight="1" x14ac:dyDescent="0.25">
      <c r="A36" s="2"/>
      <c r="B36" s="338"/>
      <c r="C36" s="105"/>
      <c r="D36" s="105"/>
      <c r="E36" s="5" t="s">
        <v>190</v>
      </c>
      <c r="F36" s="6" t="s">
        <v>248</v>
      </c>
      <c r="G36" s="33">
        <f>(G35-F35)/F35</f>
        <v>1.5</v>
      </c>
      <c r="H36" s="33">
        <f t="shared" ref="H36:L36" si="15">(H35-G35)/G35</f>
        <v>-0.7</v>
      </c>
      <c r="I36" s="33">
        <f t="shared" si="15"/>
        <v>4</v>
      </c>
      <c r="J36" s="33">
        <f t="shared" si="15"/>
        <v>-0.66666666666666663</v>
      </c>
      <c r="K36" s="33">
        <f t="shared" si="15"/>
        <v>-0.8</v>
      </c>
      <c r="L36" s="33">
        <f t="shared" si="15"/>
        <v>1</v>
      </c>
      <c r="M36" s="109">
        <v>0</v>
      </c>
      <c r="N36" s="109">
        <v>1</v>
      </c>
      <c r="O36" s="109">
        <v>1.5</v>
      </c>
      <c r="P36" s="109">
        <v>0.2</v>
      </c>
      <c r="Q36" s="109">
        <v>0.1</v>
      </c>
      <c r="R36" s="109">
        <v>-0.3</v>
      </c>
      <c r="S36" s="171">
        <v>-0.4</v>
      </c>
      <c r="T36" s="171">
        <v>-0.1</v>
      </c>
      <c r="U36" s="171">
        <v>0</v>
      </c>
      <c r="V36" s="171">
        <v>0</v>
      </c>
      <c r="W36" s="171">
        <v>0</v>
      </c>
    </row>
    <row r="37" spans="1:23" ht="30" customHeight="1" x14ac:dyDescent="0.25">
      <c r="A37" s="2"/>
      <c r="B37" s="338"/>
      <c r="C37" s="38" t="s">
        <v>63</v>
      </c>
      <c r="D37" s="40" t="s">
        <v>62</v>
      </c>
      <c r="E37" s="71" t="s">
        <v>120</v>
      </c>
      <c r="F37" s="35"/>
      <c r="G37" s="41"/>
      <c r="H37" s="41"/>
      <c r="I37" s="41"/>
      <c r="J37" s="41"/>
      <c r="K37" s="41"/>
      <c r="L37" s="35">
        <v>21</v>
      </c>
      <c r="M37" s="50"/>
      <c r="N37" s="50"/>
      <c r="O37" s="50"/>
      <c r="P37" s="50"/>
      <c r="Q37" s="50"/>
      <c r="R37" s="50"/>
      <c r="S37" s="50"/>
      <c r="T37" s="50"/>
      <c r="U37" s="50"/>
      <c r="V37" s="50"/>
      <c r="W37" s="50"/>
    </row>
    <row r="38" spans="1:23" ht="30" customHeight="1" x14ac:dyDescent="0.25">
      <c r="A38" s="2"/>
      <c r="B38" s="338"/>
      <c r="C38" s="38"/>
      <c r="D38" s="40"/>
      <c r="E38" s="72" t="s">
        <v>119</v>
      </c>
      <c r="F38" s="35"/>
      <c r="G38" s="41"/>
      <c r="H38" s="41"/>
      <c r="I38" s="41"/>
      <c r="J38" s="41"/>
      <c r="K38" s="41"/>
      <c r="L38" s="35">
        <v>31</v>
      </c>
      <c r="M38" s="50"/>
      <c r="N38" s="50"/>
      <c r="O38" s="50"/>
      <c r="P38" s="50"/>
      <c r="Q38" s="50"/>
      <c r="R38" s="50"/>
      <c r="S38" s="50"/>
      <c r="T38" s="50"/>
      <c r="U38" s="50"/>
      <c r="V38" s="50"/>
      <c r="W38" s="50"/>
    </row>
    <row r="39" spans="1:23" ht="30" customHeight="1" x14ac:dyDescent="0.25">
      <c r="A39" s="2"/>
      <c r="B39" s="338"/>
      <c r="C39" s="37" t="s">
        <v>64</v>
      </c>
      <c r="D39" s="39" t="s">
        <v>62</v>
      </c>
      <c r="E39" s="73" t="s">
        <v>180</v>
      </c>
      <c r="F39" s="6" t="s">
        <v>248</v>
      </c>
      <c r="G39" s="6">
        <v>4</v>
      </c>
      <c r="H39" s="6">
        <v>4</v>
      </c>
      <c r="I39" s="6" t="s">
        <v>181</v>
      </c>
      <c r="J39" s="6">
        <v>5</v>
      </c>
      <c r="K39" s="6">
        <v>6</v>
      </c>
      <c r="L39" s="6">
        <v>6</v>
      </c>
      <c r="M39" s="64" t="s">
        <v>111</v>
      </c>
      <c r="N39" s="50"/>
      <c r="O39" s="50"/>
      <c r="P39" s="50"/>
      <c r="Q39" s="50"/>
      <c r="R39" s="50"/>
      <c r="S39" s="50"/>
      <c r="T39" s="50"/>
      <c r="U39" s="50"/>
      <c r="V39" s="50"/>
      <c r="W39" s="50"/>
    </row>
    <row r="40" spans="1:23" ht="30" customHeight="1" x14ac:dyDescent="0.25">
      <c r="A40" s="2"/>
      <c r="B40" s="338"/>
      <c r="C40" s="38" t="s">
        <v>65</v>
      </c>
      <c r="D40" s="40" t="s">
        <v>62</v>
      </c>
      <c r="E40" s="11" t="s">
        <v>66</v>
      </c>
      <c r="F40" s="35" t="s">
        <v>248</v>
      </c>
      <c r="G40" s="35">
        <v>1</v>
      </c>
      <c r="H40" s="35">
        <v>1</v>
      </c>
      <c r="I40" s="35">
        <v>1</v>
      </c>
      <c r="J40" s="35">
        <v>1</v>
      </c>
      <c r="K40" s="35">
        <v>1</v>
      </c>
      <c r="L40" s="35">
        <v>1</v>
      </c>
      <c r="M40" s="50"/>
      <c r="N40" s="50"/>
      <c r="O40" s="50"/>
      <c r="P40" s="50"/>
      <c r="Q40" s="50"/>
      <c r="R40" s="50"/>
      <c r="S40" s="50"/>
      <c r="T40" s="50"/>
      <c r="U40" s="50"/>
      <c r="V40" s="50"/>
      <c r="W40" s="50"/>
    </row>
    <row r="41" spans="1:23" ht="30" customHeight="1" x14ac:dyDescent="0.25">
      <c r="A41" s="2"/>
      <c r="B41" s="338"/>
      <c r="C41" s="327" t="s">
        <v>67</v>
      </c>
      <c r="D41" s="339"/>
      <c r="E41" s="5" t="s">
        <v>68</v>
      </c>
      <c r="F41" s="6">
        <v>1</v>
      </c>
      <c r="G41" s="6">
        <v>1</v>
      </c>
      <c r="H41" s="6">
        <v>1</v>
      </c>
      <c r="I41" s="6">
        <v>1</v>
      </c>
      <c r="J41" s="6">
        <v>1</v>
      </c>
      <c r="K41" s="6">
        <v>1</v>
      </c>
      <c r="L41" s="6">
        <v>1</v>
      </c>
      <c r="M41" s="50"/>
      <c r="N41" s="50"/>
      <c r="O41" s="50"/>
      <c r="P41" s="50"/>
      <c r="Q41" s="50"/>
      <c r="R41" s="50"/>
      <c r="S41" s="50"/>
      <c r="T41" s="50"/>
      <c r="U41" s="50"/>
      <c r="V41" s="50"/>
      <c r="W41" s="50"/>
    </row>
    <row r="42" spans="1:23" ht="34.5" customHeight="1" x14ac:dyDescent="0.25">
      <c r="A42" s="2"/>
      <c r="B42" s="338"/>
      <c r="C42" s="329"/>
      <c r="D42" s="340"/>
      <c r="E42" s="73" t="s">
        <v>182</v>
      </c>
      <c r="F42" s="6" t="s">
        <v>248</v>
      </c>
      <c r="G42" s="6" t="s">
        <v>248</v>
      </c>
      <c r="H42" s="6"/>
      <c r="I42" s="133"/>
      <c r="J42" s="107" t="s">
        <v>306</v>
      </c>
      <c r="K42" s="107" t="s">
        <v>183</v>
      </c>
      <c r="L42" s="107" t="s">
        <v>256</v>
      </c>
      <c r="M42" s="106" t="s">
        <v>395</v>
      </c>
      <c r="N42" s="51"/>
      <c r="O42" s="51"/>
      <c r="P42" s="51"/>
      <c r="Q42" s="51"/>
      <c r="R42" s="51"/>
      <c r="S42" s="51"/>
      <c r="T42" s="51"/>
      <c r="U42" s="51"/>
      <c r="V42" s="51"/>
      <c r="W42" s="51"/>
    </row>
    <row r="43" spans="1:23" ht="30" customHeight="1" x14ac:dyDescent="0.25"/>
    <row r="44" spans="1:23" x14ac:dyDescent="0.25">
      <c r="C44" t="s">
        <v>91</v>
      </c>
    </row>
    <row r="45" spans="1:23" x14ac:dyDescent="0.25">
      <c r="C45" t="s">
        <v>110</v>
      </c>
    </row>
    <row r="46" spans="1:23" x14ac:dyDescent="0.25">
      <c r="C46" t="s">
        <v>112</v>
      </c>
    </row>
  </sheetData>
  <sheetProtection algorithmName="SHA-512" hashValue="4vcW3JTDU1EliJX4vtCpBFixqmywxYYd3xBzzNaNSYJheZBv+LI0uaKGtbJqMQ/ZIarQj060JhpHOZPAVjQLpQ==" saltValue="cnPe/1vCuXmxkqE0ukNiRQ==" spinCount="100000" sheet="1" objects="1" scenarios="1"/>
  <mergeCells count="18">
    <mergeCell ref="E27:W27"/>
    <mergeCell ref="B2:W2"/>
    <mergeCell ref="M3:W3"/>
    <mergeCell ref="F3:L3"/>
    <mergeCell ref="C3:C4"/>
    <mergeCell ref="D3:D4"/>
    <mergeCell ref="E3:E4"/>
    <mergeCell ref="B3:B42"/>
    <mergeCell ref="C41:C42"/>
    <mergeCell ref="D41:D42"/>
    <mergeCell ref="C5:C6"/>
    <mergeCell ref="C7:D17"/>
    <mergeCell ref="C18:C19"/>
    <mergeCell ref="D18:D19"/>
    <mergeCell ref="D5:D6"/>
    <mergeCell ref="C20:D23"/>
    <mergeCell ref="C24:C32"/>
    <mergeCell ref="D24:D32"/>
  </mergeCells>
  <pageMargins left="0.7" right="0.7" top="0.75" bottom="0.75" header="0.3" footer="0.3"/>
  <pageSetup paperSize="3"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zoomScale="85" zoomScaleNormal="85" workbookViewId="0">
      <pane ySplit="4" topLeftCell="A5" activePane="bottomLeft" state="frozen"/>
      <selection activeCell="O37" sqref="O37"/>
      <selection pane="bottomLeft" activeCell="O37" sqref="O37"/>
    </sheetView>
  </sheetViews>
  <sheetFormatPr defaultRowHeight="15" x14ac:dyDescent="0.25"/>
  <cols>
    <col min="1" max="1" width="1.140625" customWidth="1"/>
    <col min="2" max="2" width="6.42578125" customWidth="1"/>
    <col min="3" max="3" width="30.140625" customWidth="1"/>
    <col min="4" max="4" width="23.85546875" customWidth="1"/>
    <col min="5" max="5" width="37.42578125" customWidth="1"/>
    <col min="6" max="18" width="12.7109375" customWidth="1"/>
  </cols>
  <sheetData>
    <row r="1" spans="1:18" ht="8.25" customHeight="1" x14ac:dyDescent="0.25">
      <c r="A1" s="2"/>
      <c r="B1" s="1"/>
      <c r="C1" s="1"/>
      <c r="D1" s="1"/>
      <c r="E1" s="1"/>
      <c r="F1" s="1"/>
      <c r="G1" s="1"/>
      <c r="H1" s="1"/>
      <c r="I1" s="1"/>
      <c r="J1" s="1"/>
      <c r="K1" s="1"/>
      <c r="L1" s="1"/>
      <c r="M1" s="1"/>
      <c r="N1" s="1"/>
      <c r="O1" s="1"/>
      <c r="P1" s="1"/>
      <c r="Q1" s="1"/>
      <c r="R1" s="1"/>
    </row>
    <row r="2" spans="1:18" ht="39.950000000000003" customHeight="1" x14ac:dyDescent="0.25">
      <c r="A2" s="3"/>
      <c r="B2" s="350" t="s">
        <v>3</v>
      </c>
      <c r="C2" s="350"/>
      <c r="D2" s="350"/>
      <c r="E2" s="350"/>
      <c r="F2" s="350"/>
      <c r="G2" s="350"/>
      <c r="H2" s="350"/>
      <c r="I2" s="350"/>
      <c r="J2" s="350"/>
      <c r="K2" s="350"/>
      <c r="L2" s="350"/>
      <c r="M2" s="350"/>
      <c r="N2" s="350"/>
      <c r="O2" s="350"/>
      <c r="P2" s="350"/>
      <c r="Q2" s="350"/>
      <c r="R2" s="350"/>
    </row>
    <row r="3" spans="1:18" ht="39.950000000000003" customHeight="1" x14ac:dyDescent="0.25">
      <c r="A3" s="3"/>
      <c r="B3" s="348" t="s">
        <v>1</v>
      </c>
      <c r="C3" s="296" t="s">
        <v>2</v>
      </c>
      <c r="D3" s="296" t="s">
        <v>4</v>
      </c>
      <c r="E3" s="296" t="s">
        <v>23</v>
      </c>
      <c r="F3" s="290" t="s">
        <v>80</v>
      </c>
      <c r="G3" s="291"/>
      <c r="H3" s="291"/>
      <c r="I3" s="291"/>
      <c r="J3" s="291"/>
      <c r="K3" s="291"/>
      <c r="L3" s="292"/>
      <c r="M3" s="356" t="s">
        <v>96</v>
      </c>
      <c r="N3" s="357"/>
      <c r="O3" s="357"/>
      <c r="P3" s="357"/>
      <c r="Q3" s="357"/>
      <c r="R3" s="358"/>
    </row>
    <row r="4" spans="1:18" ht="30" customHeight="1" x14ac:dyDescent="0.25">
      <c r="A4" s="2"/>
      <c r="B4" s="349"/>
      <c r="C4" s="298"/>
      <c r="D4" s="298"/>
      <c r="E4" s="298"/>
      <c r="F4" s="7">
        <v>2013</v>
      </c>
      <c r="G4" s="7">
        <v>2014</v>
      </c>
      <c r="H4" s="7">
        <v>2015</v>
      </c>
      <c r="I4" s="7">
        <v>2016</v>
      </c>
      <c r="J4" s="7">
        <v>2017</v>
      </c>
      <c r="K4" s="7">
        <v>2018</v>
      </c>
      <c r="L4" s="7">
        <v>2019</v>
      </c>
      <c r="M4" s="7">
        <v>2020</v>
      </c>
      <c r="N4" s="7">
        <v>2021</v>
      </c>
      <c r="O4" s="7">
        <v>2022</v>
      </c>
      <c r="P4" s="7">
        <v>2023</v>
      </c>
      <c r="Q4" s="7">
        <v>2024</v>
      </c>
      <c r="R4" s="7">
        <v>2025</v>
      </c>
    </row>
    <row r="5" spans="1:18" ht="30" customHeight="1" x14ac:dyDescent="0.25">
      <c r="A5" s="2"/>
      <c r="B5" s="349"/>
      <c r="C5" s="299" t="s">
        <v>24</v>
      </c>
      <c r="D5" s="6"/>
      <c r="E5" s="8" t="s">
        <v>100</v>
      </c>
      <c r="F5" s="6" t="s">
        <v>248</v>
      </c>
      <c r="G5" s="6" t="s">
        <v>248</v>
      </c>
      <c r="H5" s="6">
        <v>9</v>
      </c>
      <c r="I5" s="6">
        <v>19</v>
      </c>
      <c r="J5" s="6">
        <v>25</v>
      </c>
      <c r="K5" s="6">
        <v>35</v>
      </c>
      <c r="L5" s="6">
        <v>38</v>
      </c>
      <c r="M5" s="6"/>
      <c r="N5" s="6"/>
      <c r="O5" s="6"/>
      <c r="P5" s="6"/>
      <c r="Q5" s="6"/>
      <c r="R5" s="6"/>
    </row>
    <row r="6" spans="1:18" ht="30" customHeight="1" x14ac:dyDescent="0.25">
      <c r="A6" s="2"/>
      <c r="B6" s="349"/>
      <c r="C6" s="312"/>
      <c r="D6" s="42"/>
      <c r="E6" s="59" t="s">
        <v>126</v>
      </c>
      <c r="F6" s="6" t="s">
        <v>248</v>
      </c>
      <c r="G6" s="6" t="s">
        <v>248</v>
      </c>
      <c r="H6" s="6" t="s">
        <v>70</v>
      </c>
      <c r="I6" s="6" t="s">
        <v>70</v>
      </c>
      <c r="J6" s="6" t="s">
        <v>70</v>
      </c>
      <c r="K6" s="6" t="s">
        <v>70</v>
      </c>
      <c r="L6" s="6" t="s">
        <v>415</v>
      </c>
      <c r="M6" s="6"/>
      <c r="N6" s="6"/>
      <c r="O6" s="6"/>
      <c r="P6" s="6"/>
      <c r="Q6" s="6"/>
      <c r="R6" s="6"/>
    </row>
    <row r="7" spans="1:18" ht="30" customHeight="1" x14ac:dyDescent="0.25">
      <c r="A7" s="2"/>
      <c r="B7" s="349"/>
      <c r="C7" s="312"/>
      <c r="D7" s="42"/>
      <c r="E7" s="59" t="s">
        <v>123</v>
      </c>
      <c r="F7" s="6" t="s">
        <v>248</v>
      </c>
      <c r="G7" s="6" t="s">
        <v>248</v>
      </c>
      <c r="H7" s="6" t="s">
        <v>70</v>
      </c>
      <c r="I7" s="6" t="s">
        <v>70</v>
      </c>
      <c r="J7" s="6" t="s">
        <v>70</v>
      </c>
      <c r="K7" s="6" t="s">
        <v>70</v>
      </c>
      <c r="L7" s="54"/>
      <c r="M7" s="6"/>
      <c r="N7" s="6"/>
      <c r="O7" s="6"/>
      <c r="P7" s="6"/>
      <c r="Q7" s="6"/>
      <c r="R7" s="6"/>
    </row>
    <row r="8" spans="1:18" ht="30" customHeight="1" x14ac:dyDescent="0.25">
      <c r="A8" s="2"/>
      <c r="B8" s="349"/>
      <c r="C8" s="312"/>
      <c r="D8" s="42"/>
      <c r="E8" s="59" t="s">
        <v>124</v>
      </c>
      <c r="F8" s="6" t="s">
        <v>248</v>
      </c>
      <c r="G8" s="6" t="s">
        <v>248</v>
      </c>
      <c r="H8" s="6" t="s">
        <v>70</v>
      </c>
      <c r="I8" s="6" t="s">
        <v>70</v>
      </c>
      <c r="J8" s="6" t="s">
        <v>70</v>
      </c>
      <c r="K8" s="6" t="s">
        <v>70</v>
      </c>
      <c r="L8" s="54"/>
      <c r="M8" s="6"/>
      <c r="N8" s="6"/>
      <c r="O8" s="6"/>
      <c r="P8" s="6"/>
      <c r="Q8" s="6"/>
      <c r="R8" s="6"/>
    </row>
    <row r="9" spans="1:18" ht="30" customHeight="1" x14ac:dyDescent="0.25">
      <c r="A9" s="2"/>
      <c r="B9" s="349"/>
      <c r="C9" s="312"/>
      <c r="D9" s="42"/>
      <c r="E9" s="59" t="s">
        <v>125</v>
      </c>
      <c r="F9" s="6" t="s">
        <v>248</v>
      </c>
      <c r="G9" s="6" t="s">
        <v>248</v>
      </c>
      <c r="H9" s="6" t="s">
        <v>70</v>
      </c>
      <c r="I9" s="6" t="s">
        <v>70</v>
      </c>
      <c r="J9" s="6" t="s">
        <v>70</v>
      </c>
      <c r="K9" s="6" t="s">
        <v>70</v>
      </c>
      <c r="L9" s="54"/>
      <c r="M9" s="6"/>
      <c r="N9" s="6"/>
      <c r="O9" s="6"/>
      <c r="P9" s="6"/>
      <c r="Q9" s="6"/>
      <c r="R9" s="6"/>
    </row>
    <row r="10" spans="1:18" ht="30.75" customHeight="1" x14ac:dyDescent="0.25">
      <c r="A10" s="2"/>
      <c r="B10" s="349"/>
      <c r="C10" s="312"/>
      <c r="D10" s="10" t="s">
        <v>101</v>
      </c>
      <c r="E10" s="5" t="s">
        <v>102</v>
      </c>
      <c r="F10" s="6" t="s">
        <v>248</v>
      </c>
      <c r="G10" s="6" t="s">
        <v>248</v>
      </c>
      <c r="H10" s="6" t="s">
        <v>248</v>
      </c>
      <c r="I10" s="6" t="s">
        <v>248</v>
      </c>
      <c r="J10" s="6" t="s">
        <v>248</v>
      </c>
      <c r="K10" s="54">
        <v>0.31</v>
      </c>
      <c r="L10" s="54">
        <v>0.34</v>
      </c>
      <c r="M10" s="6"/>
      <c r="N10" s="6"/>
      <c r="O10" s="6"/>
      <c r="P10" s="6"/>
      <c r="Q10" s="6"/>
      <c r="R10" s="6"/>
    </row>
    <row r="11" spans="1:18" ht="30" customHeight="1" x14ac:dyDescent="0.25">
      <c r="A11" s="2"/>
      <c r="B11" s="349"/>
      <c r="C11" s="351" t="s">
        <v>30</v>
      </c>
      <c r="D11" s="352"/>
      <c r="E11" s="20" t="s">
        <v>128</v>
      </c>
      <c r="F11" s="55">
        <v>0.11</v>
      </c>
      <c r="G11" s="55">
        <v>0.12</v>
      </c>
      <c r="H11" s="55">
        <v>0.15</v>
      </c>
      <c r="I11" s="55">
        <v>0.13</v>
      </c>
      <c r="J11" s="55">
        <v>0.13</v>
      </c>
      <c r="K11" s="55">
        <v>0.09</v>
      </c>
      <c r="L11" s="55">
        <v>0.08</v>
      </c>
      <c r="M11" s="21"/>
      <c r="N11" s="21"/>
      <c r="O11" s="21"/>
      <c r="P11" s="21"/>
      <c r="Q11" s="21"/>
      <c r="R11" s="21"/>
    </row>
    <row r="12" spans="1:18" ht="30" customHeight="1" x14ac:dyDescent="0.25">
      <c r="A12" s="2"/>
      <c r="B12" s="349"/>
      <c r="C12" s="44"/>
      <c r="D12" s="34" t="s">
        <v>27</v>
      </c>
      <c r="E12" s="11" t="s">
        <v>71</v>
      </c>
      <c r="F12" s="35" t="s">
        <v>248</v>
      </c>
      <c r="G12" s="35" t="s">
        <v>248</v>
      </c>
      <c r="H12" s="35" t="s">
        <v>248</v>
      </c>
      <c r="I12" s="35" t="s">
        <v>248</v>
      </c>
      <c r="J12" s="35" t="s">
        <v>248</v>
      </c>
      <c r="K12" s="35" t="s">
        <v>129</v>
      </c>
      <c r="L12" s="74" t="s">
        <v>122</v>
      </c>
      <c r="M12" s="35"/>
      <c r="N12" s="35"/>
      <c r="O12" s="35"/>
      <c r="P12" s="35"/>
      <c r="Q12" s="35"/>
      <c r="R12" s="35"/>
    </row>
    <row r="13" spans="1:18" ht="30" customHeight="1" x14ac:dyDescent="0.25">
      <c r="A13" s="2"/>
      <c r="B13" s="349"/>
      <c r="C13" s="351" t="s">
        <v>417</v>
      </c>
      <c r="D13" s="352"/>
      <c r="E13" s="179" t="s">
        <v>152</v>
      </c>
      <c r="F13" s="88" t="s">
        <v>154</v>
      </c>
      <c r="G13" s="88" t="s">
        <v>155</v>
      </c>
      <c r="H13" s="88" t="s">
        <v>156</v>
      </c>
      <c r="I13" s="88" t="s">
        <v>157</v>
      </c>
      <c r="J13" s="88" t="s">
        <v>158</v>
      </c>
      <c r="K13" s="88" t="s">
        <v>159</v>
      </c>
      <c r="L13" s="88" t="s">
        <v>160</v>
      </c>
      <c r="M13" s="21"/>
      <c r="N13" s="21"/>
      <c r="O13" s="21"/>
      <c r="P13" s="21"/>
      <c r="Q13" s="21"/>
      <c r="R13" s="21"/>
    </row>
    <row r="14" spans="1:18" ht="30" customHeight="1" x14ac:dyDescent="0.25">
      <c r="A14" s="2"/>
      <c r="B14" s="349"/>
      <c r="C14" s="351"/>
      <c r="D14" s="352"/>
      <c r="E14" s="22" t="s">
        <v>153</v>
      </c>
      <c r="F14" s="70">
        <v>24690</v>
      </c>
      <c r="G14" s="70">
        <v>25101</v>
      </c>
      <c r="H14" s="70">
        <v>25678</v>
      </c>
      <c r="I14" s="70">
        <v>25822</v>
      </c>
      <c r="J14" s="70">
        <v>26172</v>
      </c>
      <c r="K14" s="70">
        <v>26313</v>
      </c>
      <c r="L14" s="70">
        <v>26482</v>
      </c>
      <c r="M14" s="31"/>
      <c r="N14" s="75"/>
      <c r="O14" s="21"/>
      <c r="P14" s="21"/>
      <c r="Q14" s="21"/>
      <c r="R14" s="21"/>
    </row>
    <row r="15" spans="1:18" ht="30" customHeight="1" x14ac:dyDescent="0.25">
      <c r="A15" s="2"/>
      <c r="B15" s="349"/>
      <c r="C15" s="353"/>
      <c r="D15" s="354"/>
      <c r="E15" s="179" t="s">
        <v>72</v>
      </c>
      <c r="F15" s="89"/>
      <c r="G15" s="89"/>
      <c r="H15" s="89"/>
      <c r="I15" s="89"/>
      <c r="J15" s="89"/>
      <c r="K15" s="89"/>
      <c r="L15" s="90">
        <v>593</v>
      </c>
      <c r="M15" s="31"/>
      <c r="N15" s="21"/>
      <c r="O15" s="21"/>
      <c r="P15" s="21"/>
      <c r="Q15" s="21"/>
      <c r="R15" s="21"/>
    </row>
    <row r="16" spans="1:18" ht="30" customHeight="1" x14ac:dyDescent="0.25">
      <c r="A16" s="2"/>
      <c r="B16" s="349"/>
      <c r="C16" s="9" t="s">
        <v>75</v>
      </c>
      <c r="D16" s="13" t="s">
        <v>76</v>
      </c>
      <c r="E16" s="5" t="s">
        <v>103</v>
      </c>
      <c r="F16" s="6" t="s">
        <v>248</v>
      </c>
      <c r="G16" s="6" t="s">
        <v>248</v>
      </c>
      <c r="H16" s="33">
        <v>1</v>
      </c>
      <c r="I16" s="33">
        <v>1</v>
      </c>
      <c r="J16" s="33">
        <v>1</v>
      </c>
      <c r="K16" s="33">
        <v>1</v>
      </c>
      <c r="L16" s="33">
        <v>1</v>
      </c>
      <c r="M16" s="45"/>
      <c r="N16" s="6"/>
      <c r="O16" s="6"/>
      <c r="P16" s="6"/>
      <c r="Q16" s="6"/>
      <c r="R16" s="6"/>
    </row>
    <row r="17" spans="1:18" ht="30" customHeight="1" x14ac:dyDescent="0.25">
      <c r="A17" s="2"/>
      <c r="B17" s="349"/>
      <c r="C17" s="175" t="s">
        <v>73</v>
      </c>
      <c r="D17" s="49"/>
      <c r="E17" s="11" t="s">
        <v>74</v>
      </c>
      <c r="F17" s="35" t="s">
        <v>248</v>
      </c>
      <c r="G17" s="35" t="s">
        <v>248</v>
      </c>
      <c r="H17" s="48">
        <v>0</v>
      </c>
      <c r="I17" s="48">
        <v>0</v>
      </c>
      <c r="J17" s="48">
        <v>0</v>
      </c>
      <c r="K17" s="48">
        <v>0</v>
      </c>
      <c r="L17" s="48">
        <v>0</v>
      </c>
      <c r="M17" s="47"/>
      <c r="N17" s="35"/>
      <c r="O17" s="35"/>
      <c r="P17" s="35"/>
      <c r="Q17" s="35"/>
      <c r="R17" s="35"/>
    </row>
    <row r="18" spans="1:18" ht="30" customHeight="1" x14ac:dyDescent="0.25">
      <c r="A18" s="2"/>
      <c r="B18" s="349"/>
      <c r="C18" s="355" t="s">
        <v>79</v>
      </c>
      <c r="D18" s="36"/>
      <c r="E18" s="58" t="s">
        <v>77</v>
      </c>
      <c r="F18" s="46" t="s">
        <v>130</v>
      </c>
      <c r="G18" s="46"/>
      <c r="H18" s="46"/>
      <c r="I18" s="46"/>
      <c r="J18" s="46"/>
      <c r="K18" s="46"/>
      <c r="L18" s="46"/>
      <c r="M18" s="47"/>
      <c r="N18" s="35"/>
      <c r="O18" s="35"/>
      <c r="P18" s="35"/>
      <c r="Q18" s="35"/>
      <c r="R18" s="35"/>
    </row>
    <row r="19" spans="1:18" ht="30" customHeight="1" x14ac:dyDescent="0.25">
      <c r="A19" s="2"/>
      <c r="B19" s="349"/>
      <c r="C19" s="282"/>
      <c r="D19" s="36"/>
      <c r="E19" s="58" t="s">
        <v>78</v>
      </c>
      <c r="F19" s="46" t="s">
        <v>130</v>
      </c>
      <c r="G19" s="46"/>
      <c r="H19" s="77"/>
      <c r="I19" s="76"/>
      <c r="J19" s="76"/>
      <c r="K19" s="76"/>
      <c r="L19" s="76"/>
      <c r="M19" s="47"/>
      <c r="N19" s="35"/>
      <c r="O19" s="35"/>
      <c r="P19" s="35"/>
      <c r="Q19" s="35"/>
      <c r="R19" s="35"/>
    </row>
    <row r="21" spans="1:18" x14ac:dyDescent="0.25">
      <c r="C21" t="s">
        <v>416</v>
      </c>
    </row>
    <row r="22" spans="1:18" x14ac:dyDescent="0.25">
      <c r="C22" t="s">
        <v>131</v>
      </c>
    </row>
    <row r="23" spans="1:18" x14ac:dyDescent="0.25">
      <c r="C23" t="s">
        <v>132</v>
      </c>
    </row>
    <row r="24" spans="1:18" x14ac:dyDescent="0.25">
      <c r="C24" t="s">
        <v>133</v>
      </c>
    </row>
  </sheetData>
  <sheetProtection algorithmName="SHA-512" hashValue="7dI7Q1Sw2hhu8UA+nKNNUKrXfo6KANepG6L/jJoM1e4DnWX8VV7YEgUczeE/Q/RO8/Iib0TAaJma/UXMCgWKtw==" saltValue="jO8Fq3Dy6CoHn1pxgbtSEg==" spinCount="100000" sheet="1" objects="1" scenarios="1"/>
  <mergeCells count="11">
    <mergeCell ref="B3:B19"/>
    <mergeCell ref="B2:R2"/>
    <mergeCell ref="C11:D11"/>
    <mergeCell ref="C5:C10"/>
    <mergeCell ref="C13:D15"/>
    <mergeCell ref="C18:C19"/>
    <mergeCell ref="F3:L3"/>
    <mergeCell ref="M3:R3"/>
    <mergeCell ref="C3:C4"/>
    <mergeCell ref="D3:D4"/>
    <mergeCell ref="E3:E4"/>
  </mergeCells>
  <pageMargins left="0.7" right="0.7" top="0.75" bottom="0.75" header="0.3" footer="0.3"/>
  <pageSetup paperSize="3"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F1" workbookViewId="0">
      <pane ySplit="3" topLeftCell="A4" activePane="bottomLeft" state="frozen"/>
      <selection activeCell="O37" sqref="O37"/>
      <selection pane="bottomLeft" activeCell="O37" sqref="O37"/>
    </sheetView>
  </sheetViews>
  <sheetFormatPr defaultRowHeight="15" x14ac:dyDescent="0.25"/>
  <cols>
    <col min="1" max="1" width="1.140625" customWidth="1"/>
    <col min="2" max="2" width="6.42578125" customWidth="1"/>
    <col min="3" max="3" width="19.85546875" customWidth="1"/>
    <col min="4" max="4" width="25.28515625" customWidth="1"/>
    <col min="5" max="5" width="13" customWidth="1"/>
    <col min="6" max="10" width="12.7109375" customWidth="1"/>
    <col min="11" max="11" width="25.140625" customWidth="1"/>
    <col min="12" max="12" width="19.28515625" customWidth="1"/>
    <col min="13" max="13" width="35.42578125" customWidth="1"/>
    <col min="14" max="16" width="12.7109375" customWidth="1"/>
  </cols>
  <sheetData>
    <row r="1" spans="1:16" ht="7.5" customHeight="1" x14ac:dyDescent="0.25">
      <c r="A1" s="2"/>
      <c r="B1" s="1"/>
      <c r="C1" s="1"/>
      <c r="D1" s="1"/>
      <c r="E1" s="1"/>
      <c r="F1" s="1"/>
      <c r="G1" s="1"/>
      <c r="H1" s="1"/>
      <c r="I1" s="1"/>
      <c r="J1" s="1"/>
      <c r="K1" s="1"/>
      <c r="L1" s="1"/>
      <c r="M1" s="1"/>
      <c r="N1" s="1"/>
      <c r="O1" s="1"/>
      <c r="P1" s="1"/>
    </row>
    <row r="2" spans="1:16" ht="30.75" x14ac:dyDescent="0.25">
      <c r="A2" s="3"/>
      <c r="B2" s="350" t="s">
        <v>3</v>
      </c>
      <c r="C2" s="350"/>
      <c r="D2" s="350"/>
      <c r="E2" s="350"/>
      <c r="F2" s="350"/>
      <c r="G2" s="350"/>
      <c r="H2" s="350"/>
      <c r="I2" s="350"/>
      <c r="J2" s="350"/>
      <c r="K2" s="350"/>
      <c r="L2" s="350"/>
      <c r="M2" s="350"/>
      <c r="N2" s="350"/>
      <c r="O2" s="350"/>
      <c r="P2" s="350"/>
    </row>
    <row r="3" spans="1:16" ht="30" customHeight="1" x14ac:dyDescent="0.25">
      <c r="A3" s="2"/>
      <c r="B3" s="359" t="s">
        <v>150</v>
      </c>
      <c r="C3" s="7" t="s">
        <v>2</v>
      </c>
      <c r="D3" s="7" t="s">
        <v>23</v>
      </c>
      <c r="E3" s="7" t="s">
        <v>138</v>
      </c>
      <c r="F3" s="7" t="s">
        <v>8</v>
      </c>
      <c r="G3" s="7" t="s">
        <v>9</v>
      </c>
      <c r="H3" s="7" t="s">
        <v>10</v>
      </c>
      <c r="I3" s="7" t="s">
        <v>11</v>
      </c>
      <c r="J3" s="7" t="s">
        <v>12</v>
      </c>
      <c r="K3" s="7" t="s">
        <v>13</v>
      </c>
      <c r="L3" s="7" t="s">
        <v>14</v>
      </c>
      <c r="M3" s="7" t="s">
        <v>15</v>
      </c>
      <c r="N3" s="7" t="s">
        <v>17</v>
      </c>
      <c r="O3" s="7" t="s">
        <v>18</v>
      </c>
      <c r="P3" s="7" t="s">
        <v>19</v>
      </c>
    </row>
    <row r="4" spans="1:16" ht="45" x14ac:dyDescent="0.25">
      <c r="A4" s="2"/>
      <c r="B4" s="360"/>
      <c r="C4" s="13" t="s">
        <v>139</v>
      </c>
      <c r="D4" s="5" t="s">
        <v>140</v>
      </c>
      <c r="E4" s="5"/>
      <c r="F4" s="4"/>
      <c r="G4" s="4"/>
      <c r="H4" s="4"/>
      <c r="I4" s="86" t="s">
        <v>141</v>
      </c>
      <c r="J4" s="4"/>
      <c r="K4" s="86" t="s">
        <v>418</v>
      </c>
      <c r="L4" s="4"/>
      <c r="M4" s="4"/>
      <c r="N4" s="4"/>
      <c r="O4" s="4"/>
      <c r="P4" s="4"/>
    </row>
    <row r="5" spans="1:16" ht="30" customHeight="1" x14ac:dyDescent="0.25">
      <c r="A5" s="2"/>
      <c r="B5" s="360"/>
      <c r="C5" s="87"/>
      <c r="D5" s="8"/>
      <c r="E5" s="8"/>
      <c r="F5" s="4"/>
      <c r="G5" s="4"/>
      <c r="H5" s="4"/>
      <c r="I5" s="4"/>
      <c r="J5" s="4"/>
      <c r="K5" s="4"/>
      <c r="L5" s="4"/>
      <c r="M5" s="4"/>
      <c r="N5" s="4"/>
      <c r="O5" s="4"/>
      <c r="P5" s="4"/>
    </row>
    <row r="6" spans="1:16" ht="30" customHeight="1" x14ac:dyDescent="0.25">
      <c r="A6" s="2"/>
      <c r="B6" s="360"/>
      <c r="C6" s="87"/>
      <c r="D6" s="8" t="s">
        <v>142</v>
      </c>
      <c r="E6" s="8"/>
      <c r="F6" s="4"/>
      <c r="G6" s="4"/>
      <c r="H6" s="4"/>
      <c r="I6" s="4"/>
      <c r="J6" s="4"/>
      <c r="K6" s="4"/>
      <c r="L6" s="4"/>
      <c r="M6" s="4"/>
      <c r="N6" s="4"/>
      <c r="O6" s="4"/>
      <c r="P6" s="4"/>
    </row>
    <row r="7" spans="1:16" ht="30" x14ac:dyDescent="0.25">
      <c r="A7" s="2"/>
      <c r="B7" s="360"/>
      <c r="C7" s="13" t="s">
        <v>143</v>
      </c>
      <c r="D7" s="8"/>
      <c r="E7" s="8"/>
      <c r="F7" s="4"/>
      <c r="G7" s="4"/>
      <c r="H7" s="4"/>
      <c r="I7" s="4"/>
      <c r="J7" s="4"/>
      <c r="K7" s="4"/>
      <c r="L7" s="4"/>
      <c r="M7" s="4" t="s">
        <v>144</v>
      </c>
      <c r="N7" s="4"/>
      <c r="O7" s="4"/>
      <c r="P7" s="4"/>
    </row>
    <row r="8" spans="1:16" x14ac:dyDescent="0.25">
      <c r="A8" s="2"/>
      <c r="B8" s="360"/>
      <c r="C8" s="13" t="s">
        <v>145</v>
      </c>
      <c r="D8" s="8"/>
      <c r="E8" s="8"/>
      <c r="F8" s="4"/>
      <c r="G8" s="4"/>
      <c r="H8" s="4"/>
      <c r="I8" s="4"/>
      <c r="J8" s="4"/>
      <c r="K8" s="4"/>
      <c r="L8" s="4" t="s">
        <v>146</v>
      </c>
      <c r="M8" s="4"/>
      <c r="N8" s="4"/>
      <c r="O8" s="4"/>
      <c r="P8" s="4"/>
    </row>
    <row r="9" spans="1:16" ht="30" x14ac:dyDescent="0.25">
      <c r="A9" s="2"/>
      <c r="B9" s="360"/>
      <c r="C9" s="13" t="s">
        <v>147</v>
      </c>
      <c r="D9" s="8"/>
      <c r="E9" s="8"/>
      <c r="F9" s="4"/>
      <c r="G9" s="4"/>
      <c r="H9" s="4"/>
      <c r="I9" s="4"/>
      <c r="J9" s="4"/>
      <c r="K9" s="4"/>
      <c r="L9" s="4"/>
      <c r="M9" s="86" t="s">
        <v>148</v>
      </c>
      <c r="N9" s="4"/>
      <c r="O9" s="4"/>
      <c r="P9" s="4"/>
    </row>
    <row r="10" spans="1:16" ht="45" x14ac:dyDescent="0.25">
      <c r="A10" s="2"/>
      <c r="B10" s="361"/>
      <c r="C10" s="87" t="s">
        <v>149</v>
      </c>
      <c r="D10" s="8"/>
      <c r="E10" s="8"/>
      <c r="F10" s="4"/>
      <c r="G10" s="4"/>
      <c r="H10" s="4"/>
      <c r="I10" s="4"/>
      <c r="J10" s="4"/>
      <c r="K10" s="4"/>
      <c r="L10" s="4"/>
      <c r="M10" s="86" t="s">
        <v>151</v>
      </c>
      <c r="N10" s="4"/>
      <c r="O10" s="4"/>
      <c r="P10" s="4"/>
    </row>
    <row r="11" spans="1:16" ht="30" customHeight="1" x14ac:dyDescent="0.25">
      <c r="A11" s="2"/>
    </row>
  </sheetData>
  <sheetProtection algorithmName="SHA-512" hashValue="BZ6WxKbWMm6QpDWEh978CzssFKwQmOPVa99mdU8f/LCzc3MJxd3ODSAYQHrqxPYpW8eUqAnbrCjE8euw6Lvkpg==" saltValue="GPNV57G2D8vqQ83mmkDiCQ==" spinCount="100000" sheet="1" objects="1" scenarios="1"/>
  <mergeCells count="2">
    <mergeCell ref="B2:P2"/>
    <mergeCell ref="B3:B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73"/>
  <sheetViews>
    <sheetView topLeftCell="B1" workbookViewId="0">
      <selection activeCell="O37" sqref="O37"/>
    </sheetView>
  </sheetViews>
  <sheetFormatPr defaultRowHeight="15" x14ac:dyDescent="0.25"/>
  <cols>
    <col min="1" max="1" width="26.140625" customWidth="1"/>
    <col min="2" max="2" width="14.85546875" customWidth="1"/>
    <col min="3" max="3" width="15.42578125" customWidth="1"/>
    <col min="4" max="4" width="15.85546875" customWidth="1"/>
    <col min="5" max="5" width="13.140625" customWidth="1"/>
    <col min="6" max="6" width="13.85546875" customWidth="1"/>
    <col min="7" max="7" width="13.7109375" customWidth="1"/>
    <col min="8" max="8" width="13.42578125" customWidth="1"/>
    <col min="9" max="9" width="12.5703125" customWidth="1"/>
    <col min="10" max="10" width="14.42578125" customWidth="1"/>
    <col min="11" max="11" width="12.85546875" customWidth="1"/>
    <col min="12" max="12" width="14" customWidth="1"/>
  </cols>
  <sheetData>
    <row r="3" spans="2:10" x14ac:dyDescent="0.25">
      <c r="B3" s="5" t="s">
        <v>95</v>
      </c>
      <c r="C3" s="6">
        <v>0</v>
      </c>
      <c r="D3" s="6">
        <v>0</v>
      </c>
      <c r="E3" s="134">
        <v>3</v>
      </c>
      <c r="F3" s="6">
        <v>16</v>
      </c>
      <c r="G3" s="6">
        <v>24</v>
      </c>
      <c r="H3" s="6">
        <v>38</v>
      </c>
      <c r="I3" s="66">
        <v>43</v>
      </c>
    </row>
    <row r="4" spans="2:10" x14ac:dyDescent="0.25">
      <c r="B4" s="14" t="s">
        <v>92</v>
      </c>
      <c r="C4" s="24">
        <v>1027</v>
      </c>
      <c r="D4" s="24">
        <v>1003</v>
      </c>
      <c r="E4" s="25">
        <v>968</v>
      </c>
      <c r="F4" s="25">
        <v>963</v>
      </c>
      <c r="G4" s="25">
        <v>950</v>
      </c>
      <c r="H4" s="25">
        <v>974</v>
      </c>
      <c r="I4" s="65">
        <v>981</v>
      </c>
    </row>
    <row r="5" spans="2:10" x14ac:dyDescent="0.25">
      <c r="B5" s="14" t="s">
        <v>93</v>
      </c>
      <c r="C5" s="24">
        <v>405</v>
      </c>
      <c r="D5" s="24">
        <v>378</v>
      </c>
      <c r="E5" s="25">
        <v>322</v>
      </c>
      <c r="F5" s="25">
        <v>312</v>
      </c>
      <c r="G5" s="25">
        <v>282</v>
      </c>
      <c r="H5" s="25">
        <v>285</v>
      </c>
      <c r="I5" s="65">
        <v>295</v>
      </c>
    </row>
    <row r="6" spans="2:10" x14ac:dyDescent="0.25">
      <c r="B6" s="14" t="s">
        <v>94</v>
      </c>
      <c r="C6" s="24">
        <v>60</v>
      </c>
      <c r="D6" s="24">
        <v>67</v>
      </c>
      <c r="E6" s="25">
        <v>71</v>
      </c>
      <c r="F6" s="25">
        <v>72</v>
      </c>
      <c r="G6" s="25">
        <v>75</v>
      </c>
      <c r="H6" s="25">
        <v>81</v>
      </c>
      <c r="I6" s="65">
        <v>81</v>
      </c>
    </row>
    <row r="9" spans="2:10" x14ac:dyDescent="0.25">
      <c r="B9" s="362" t="s">
        <v>97</v>
      </c>
      <c r="C9" s="362"/>
      <c r="D9" s="362"/>
      <c r="E9" s="362"/>
      <c r="F9" s="362"/>
      <c r="G9" s="362"/>
      <c r="H9" s="362"/>
      <c r="I9" s="363"/>
    </row>
    <row r="10" spans="2:10" x14ac:dyDescent="0.25">
      <c r="B10" s="52"/>
      <c r="C10" s="52">
        <v>2013</v>
      </c>
      <c r="D10" s="52">
        <v>2014</v>
      </c>
      <c r="E10" s="52">
        <v>2015</v>
      </c>
      <c r="F10" s="52">
        <v>2016</v>
      </c>
      <c r="G10" s="52">
        <v>2017</v>
      </c>
      <c r="H10" s="52">
        <v>2018</v>
      </c>
      <c r="I10" s="53">
        <v>2019</v>
      </c>
    </row>
    <row r="11" spans="2:10" x14ac:dyDescent="0.25">
      <c r="B11" s="5" t="s">
        <v>7</v>
      </c>
      <c r="C11" s="78">
        <v>125275</v>
      </c>
      <c r="D11" s="78">
        <v>133392</v>
      </c>
      <c r="E11" s="78">
        <v>146362</v>
      </c>
      <c r="F11" s="78">
        <v>217456</v>
      </c>
      <c r="G11" s="78">
        <v>221664</v>
      </c>
      <c r="H11" s="78">
        <v>260001</v>
      </c>
      <c r="I11" s="83">
        <v>241169</v>
      </c>
    </row>
    <row r="12" spans="2:10" x14ac:dyDescent="0.25">
      <c r="B12" s="5" t="s">
        <v>6</v>
      </c>
      <c r="C12" s="78">
        <v>106093</v>
      </c>
      <c r="D12" s="78">
        <v>157689</v>
      </c>
      <c r="E12" s="78">
        <v>154319</v>
      </c>
      <c r="F12" s="78">
        <v>195978</v>
      </c>
      <c r="G12" s="78">
        <v>189508</v>
      </c>
      <c r="H12" s="78">
        <v>258089</v>
      </c>
      <c r="I12" s="83">
        <v>217048</v>
      </c>
    </row>
    <row r="13" spans="2:10" x14ac:dyDescent="0.25">
      <c r="B13" s="5" t="s">
        <v>28</v>
      </c>
      <c r="C13" s="79">
        <f t="shared" ref="C13:I13" si="0">C11-C12</f>
        <v>19182</v>
      </c>
      <c r="D13" s="79">
        <f t="shared" si="0"/>
        <v>-24297</v>
      </c>
      <c r="E13" s="79">
        <f t="shared" si="0"/>
        <v>-7957</v>
      </c>
      <c r="F13" s="79">
        <f t="shared" si="0"/>
        <v>21478</v>
      </c>
      <c r="G13" s="79">
        <f t="shared" si="0"/>
        <v>32156</v>
      </c>
      <c r="H13" s="79">
        <f t="shared" si="0"/>
        <v>1912</v>
      </c>
      <c r="I13" s="84">
        <f t="shared" si="0"/>
        <v>24121</v>
      </c>
    </row>
    <row r="16" spans="2:10" x14ac:dyDescent="0.25">
      <c r="C16" s="115" t="s">
        <v>207</v>
      </c>
      <c r="D16" s="115" t="s">
        <v>219</v>
      </c>
      <c r="G16" s="115" t="s">
        <v>223</v>
      </c>
      <c r="H16" s="115" t="s">
        <v>226</v>
      </c>
      <c r="I16" t="s">
        <v>227</v>
      </c>
      <c r="J16" t="s">
        <v>228</v>
      </c>
    </row>
    <row r="17" spans="2:10" x14ac:dyDescent="0.25">
      <c r="B17">
        <v>2013</v>
      </c>
      <c r="C17" s="114">
        <f>Financial!F12</f>
        <v>600</v>
      </c>
      <c r="D17" s="114">
        <f>Financial!F16</f>
        <v>106693</v>
      </c>
      <c r="F17">
        <v>2013</v>
      </c>
      <c r="G17">
        <v>0</v>
      </c>
    </row>
    <row r="18" spans="2:10" x14ac:dyDescent="0.25">
      <c r="B18">
        <v>2014</v>
      </c>
      <c r="C18" s="114">
        <f>Financial!G12</f>
        <v>1500</v>
      </c>
      <c r="D18" s="114">
        <f>Financial!G16</f>
        <v>159189</v>
      </c>
      <c r="F18">
        <v>2014</v>
      </c>
      <c r="G18">
        <v>0</v>
      </c>
    </row>
    <row r="19" spans="2:10" x14ac:dyDescent="0.25">
      <c r="B19">
        <v>2015</v>
      </c>
      <c r="C19" s="114">
        <f>Financial!H12</f>
        <v>8181</v>
      </c>
      <c r="D19" s="114">
        <f>Financial!H16</f>
        <v>162500</v>
      </c>
      <c r="F19">
        <v>2015</v>
      </c>
      <c r="G19">
        <v>3</v>
      </c>
    </row>
    <row r="20" spans="2:10" x14ac:dyDescent="0.25">
      <c r="B20">
        <v>2016</v>
      </c>
      <c r="C20" s="114">
        <f>Financial!I12</f>
        <v>11706</v>
      </c>
      <c r="D20" s="114">
        <f>Financial!I16</f>
        <v>207684</v>
      </c>
      <c r="F20">
        <v>2016</v>
      </c>
      <c r="G20">
        <v>16</v>
      </c>
    </row>
    <row r="21" spans="2:10" x14ac:dyDescent="0.25">
      <c r="B21">
        <v>2017</v>
      </c>
      <c r="C21" s="114">
        <f>Financial!J12</f>
        <v>13448</v>
      </c>
      <c r="D21" s="114">
        <f>Financial!J16</f>
        <v>202956</v>
      </c>
      <c r="F21">
        <v>2017</v>
      </c>
      <c r="G21">
        <v>24</v>
      </c>
    </row>
    <row r="22" spans="2:10" x14ac:dyDescent="0.25">
      <c r="B22">
        <v>2018</v>
      </c>
      <c r="C22" s="114">
        <f>Financial!K12</f>
        <v>11116</v>
      </c>
      <c r="D22" s="114">
        <f>Financial!K16</f>
        <v>269205</v>
      </c>
      <c r="F22">
        <v>2018</v>
      </c>
      <c r="G22">
        <v>38</v>
      </c>
    </row>
    <row r="23" spans="2:10" x14ac:dyDescent="0.25">
      <c r="B23">
        <v>2019</v>
      </c>
      <c r="C23" s="114">
        <f>Financial!L12</f>
        <v>35510</v>
      </c>
      <c r="D23" s="114">
        <f>Financial!L16</f>
        <v>252557.51</v>
      </c>
      <c r="F23">
        <v>2019</v>
      </c>
      <c r="G23">
        <v>43</v>
      </c>
      <c r="H23">
        <v>38</v>
      </c>
      <c r="I23">
        <v>4</v>
      </c>
      <c r="J23">
        <v>1</v>
      </c>
    </row>
    <row r="26" spans="2:10" x14ac:dyDescent="0.25">
      <c r="C26" s="115" t="s">
        <v>249</v>
      </c>
      <c r="D26" s="115" t="s">
        <v>250</v>
      </c>
      <c r="E26" s="115" t="s">
        <v>223</v>
      </c>
      <c r="F26" s="115"/>
    </row>
    <row r="27" spans="2:10" x14ac:dyDescent="0.25">
      <c r="B27">
        <v>2013</v>
      </c>
      <c r="C27">
        <v>0</v>
      </c>
      <c r="D27">
        <v>0</v>
      </c>
      <c r="E27">
        <v>0</v>
      </c>
    </row>
    <row r="28" spans="2:10" x14ac:dyDescent="0.25">
      <c r="B28">
        <v>2014</v>
      </c>
      <c r="C28">
        <v>14</v>
      </c>
      <c r="D28">
        <v>0</v>
      </c>
      <c r="E28">
        <v>0</v>
      </c>
    </row>
    <row r="29" spans="2:10" x14ac:dyDescent="0.25">
      <c r="B29">
        <v>2015</v>
      </c>
      <c r="C29">
        <v>20</v>
      </c>
      <c r="D29">
        <v>24</v>
      </c>
      <c r="E29">
        <v>3</v>
      </c>
    </row>
    <row r="30" spans="2:10" x14ac:dyDescent="0.25">
      <c r="B30">
        <v>2016</v>
      </c>
      <c r="C30">
        <v>16</v>
      </c>
      <c r="D30">
        <v>16</v>
      </c>
      <c r="E30">
        <v>16</v>
      </c>
    </row>
    <row r="31" spans="2:10" x14ac:dyDescent="0.25">
      <c r="B31">
        <v>2017</v>
      </c>
      <c r="C31">
        <v>22</v>
      </c>
      <c r="D31">
        <v>18</v>
      </c>
      <c r="E31">
        <v>24</v>
      </c>
    </row>
    <row r="32" spans="2:10" x14ac:dyDescent="0.25">
      <c r="B32">
        <v>2018</v>
      </c>
      <c r="C32">
        <v>12</v>
      </c>
      <c r="D32">
        <v>14</v>
      </c>
      <c r="E32">
        <v>38</v>
      </c>
    </row>
    <row r="33" spans="2:10" x14ac:dyDescent="0.25">
      <c r="B33">
        <v>2019</v>
      </c>
      <c r="C33">
        <v>16</v>
      </c>
      <c r="D33">
        <v>13</v>
      </c>
      <c r="E33">
        <v>43</v>
      </c>
    </row>
    <row r="36" spans="2:10" x14ac:dyDescent="0.25">
      <c r="B36" s="78">
        <v>106093</v>
      </c>
      <c r="C36" s="78">
        <v>157689</v>
      </c>
      <c r="D36" s="78">
        <v>154319</v>
      </c>
      <c r="E36" s="78">
        <v>195978</v>
      </c>
      <c r="F36" s="78">
        <v>189508</v>
      </c>
      <c r="G36" s="78">
        <v>258089</v>
      </c>
      <c r="H36" s="80">
        <v>217048</v>
      </c>
      <c r="I36" s="114">
        <f>SUM(B36:H36)</f>
        <v>1278724</v>
      </c>
      <c r="J36" t="s">
        <v>455</v>
      </c>
    </row>
    <row r="37" spans="2:10" x14ac:dyDescent="0.25">
      <c r="B37" s="236">
        <v>15097982</v>
      </c>
      <c r="C37" s="236">
        <v>16493451</v>
      </c>
      <c r="D37" s="236">
        <v>17966538</v>
      </c>
      <c r="E37" s="236">
        <v>18121119</v>
      </c>
      <c r="F37" s="236">
        <v>18139636</v>
      </c>
      <c r="G37" s="236">
        <v>19182478</v>
      </c>
      <c r="H37" s="237">
        <v>18289210</v>
      </c>
      <c r="I37" s="114">
        <f>SUM(B37:H37)</f>
        <v>123290414</v>
      </c>
      <c r="J37" t="s">
        <v>456</v>
      </c>
    </row>
    <row r="38" spans="2:10" x14ac:dyDescent="0.25">
      <c r="B38" s="235">
        <f>B36/B37</f>
        <v>7.0269655905007703E-3</v>
      </c>
      <c r="C38" s="235">
        <f t="shared" ref="C38:I38" si="1">C36/C37</f>
        <v>9.5607038211712025E-3</v>
      </c>
      <c r="D38" s="235">
        <f t="shared" si="1"/>
        <v>8.5892451845759037E-3</v>
      </c>
      <c r="E38" s="235">
        <f t="shared" si="1"/>
        <v>1.0814895040422172E-2</v>
      </c>
      <c r="F38" s="235">
        <f t="shared" si="1"/>
        <v>1.0447177661117345E-2</v>
      </c>
      <c r="G38" s="235">
        <f t="shared" si="1"/>
        <v>1.3454413970916583E-2</v>
      </c>
      <c r="H38" s="235">
        <f t="shared" si="1"/>
        <v>1.1867543759407869E-2</v>
      </c>
      <c r="I38" s="235">
        <f t="shared" si="1"/>
        <v>1.0371641707683779E-2</v>
      </c>
    </row>
    <row r="56" spans="1:12" x14ac:dyDescent="0.25">
      <c r="A56" s="123" t="s">
        <v>458</v>
      </c>
      <c r="B56" s="238">
        <v>2020</v>
      </c>
      <c r="C56" s="238">
        <v>2021</v>
      </c>
      <c r="D56" s="238">
        <v>2022</v>
      </c>
      <c r="E56" s="238">
        <v>2023</v>
      </c>
      <c r="F56" s="238">
        <v>2024</v>
      </c>
      <c r="G56" s="238">
        <v>2025</v>
      </c>
      <c r="H56" s="238">
        <v>2026</v>
      </c>
      <c r="I56" s="238">
        <v>2027</v>
      </c>
      <c r="J56" s="238">
        <v>2028</v>
      </c>
      <c r="K56" s="238">
        <v>2029</v>
      </c>
      <c r="L56" s="238">
        <v>2030</v>
      </c>
    </row>
    <row r="57" spans="1:12" x14ac:dyDescent="0.25">
      <c r="A57" s="240" t="s">
        <v>459</v>
      </c>
      <c r="B57" s="241">
        <v>200</v>
      </c>
      <c r="C57" s="241">
        <v>229</v>
      </c>
      <c r="D57" s="241">
        <v>240</v>
      </c>
      <c r="E57" s="241">
        <v>252</v>
      </c>
      <c r="F57" s="241">
        <v>265</v>
      </c>
      <c r="G57" s="241">
        <v>278</v>
      </c>
      <c r="H57" s="241">
        <v>292</v>
      </c>
      <c r="I57" s="241">
        <v>307</v>
      </c>
      <c r="J57" s="241">
        <v>322</v>
      </c>
      <c r="K57" s="241">
        <v>338</v>
      </c>
      <c r="L57" s="241">
        <v>355</v>
      </c>
    </row>
    <row r="58" spans="1:12" x14ac:dyDescent="0.25">
      <c r="A58" s="239" t="s">
        <v>460</v>
      </c>
      <c r="B58" s="56">
        <v>0</v>
      </c>
      <c r="C58" s="56">
        <v>100</v>
      </c>
      <c r="D58" s="56">
        <v>100</v>
      </c>
      <c r="E58" s="112">
        <v>100</v>
      </c>
      <c r="F58" s="112">
        <v>100</v>
      </c>
      <c r="G58" s="112">
        <v>100</v>
      </c>
      <c r="H58" s="56">
        <v>100</v>
      </c>
      <c r="I58" s="56">
        <v>100</v>
      </c>
      <c r="J58" s="56">
        <v>100</v>
      </c>
      <c r="K58" s="56">
        <v>100</v>
      </c>
      <c r="L58" s="56">
        <v>100</v>
      </c>
    </row>
    <row r="59" spans="1:12" x14ac:dyDescent="0.25">
      <c r="A59" s="239" t="s">
        <v>461</v>
      </c>
      <c r="B59" s="56">
        <v>0</v>
      </c>
      <c r="C59" s="56">
        <v>100</v>
      </c>
      <c r="D59" s="56">
        <v>100</v>
      </c>
      <c r="E59" s="56">
        <v>100</v>
      </c>
      <c r="F59" s="56">
        <v>87</v>
      </c>
      <c r="G59" s="57">
        <v>74</v>
      </c>
      <c r="H59" s="56">
        <v>60</v>
      </c>
      <c r="I59" s="56">
        <v>46</v>
      </c>
      <c r="J59" s="56">
        <v>30</v>
      </c>
      <c r="K59" s="56">
        <v>15</v>
      </c>
      <c r="L59" s="56">
        <v>0</v>
      </c>
    </row>
    <row r="60" spans="1:12" x14ac:dyDescent="0.25">
      <c r="A60" s="239" t="s">
        <v>457</v>
      </c>
      <c r="B60" s="143">
        <f>SUM(B57:B59)</f>
        <v>200</v>
      </c>
      <c r="C60" s="143">
        <f t="shared" ref="C60:L60" si="2">SUM(C57:C59)</f>
        <v>429</v>
      </c>
      <c r="D60" s="143">
        <f t="shared" si="2"/>
        <v>440</v>
      </c>
      <c r="E60" s="143">
        <f t="shared" si="2"/>
        <v>452</v>
      </c>
      <c r="F60" s="143">
        <f t="shared" si="2"/>
        <v>452</v>
      </c>
      <c r="G60" s="143">
        <f t="shared" si="2"/>
        <v>452</v>
      </c>
      <c r="H60" s="143">
        <f t="shared" si="2"/>
        <v>452</v>
      </c>
      <c r="I60" s="143">
        <f t="shared" si="2"/>
        <v>453</v>
      </c>
      <c r="J60" s="143">
        <f t="shared" si="2"/>
        <v>452</v>
      </c>
      <c r="K60" s="143">
        <f t="shared" si="2"/>
        <v>453</v>
      </c>
      <c r="L60" s="143">
        <f t="shared" si="2"/>
        <v>455</v>
      </c>
    </row>
    <row r="66" spans="1:12" x14ac:dyDescent="0.25">
      <c r="B66">
        <v>2020</v>
      </c>
      <c r="C66">
        <v>2021</v>
      </c>
      <c r="D66">
        <v>2022</v>
      </c>
      <c r="E66">
        <v>2023</v>
      </c>
      <c r="F66">
        <v>2024</v>
      </c>
      <c r="G66">
        <v>2025</v>
      </c>
      <c r="H66">
        <v>2026</v>
      </c>
      <c r="I66">
        <v>2027</v>
      </c>
      <c r="J66">
        <v>2028</v>
      </c>
      <c r="K66">
        <v>2029</v>
      </c>
      <c r="L66">
        <v>2030</v>
      </c>
    </row>
    <row r="67" spans="1:12" ht="15.75" x14ac:dyDescent="0.25">
      <c r="A67" t="s">
        <v>485</v>
      </c>
      <c r="B67" s="213">
        <f>'Budget Projections'!C30</f>
        <v>-9355.7150000000001</v>
      </c>
      <c r="C67" s="213">
        <f>'Budget Projections'!D30</f>
        <v>-3616.7477325</v>
      </c>
      <c r="D67" s="213">
        <f>'Budget Projections'!E30</f>
        <v>25115.824350124996</v>
      </c>
      <c r="E67" s="213">
        <f>'Budget Projections'!F30</f>
        <v>57708.338338893751</v>
      </c>
      <c r="F67" s="213">
        <f>'Budget Projections'!G30</f>
        <v>58738.590123477799</v>
      </c>
      <c r="G67" s="213">
        <f>'Budget Projections'!H30</f>
        <v>81491.535348374484</v>
      </c>
      <c r="H67" s="213">
        <f>'Budget Projections'!I30</f>
        <v>99266.715769922826</v>
      </c>
      <c r="I67" s="213">
        <f>'Budget Projections'!J30</f>
        <v>119460.79995851823</v>
      </c>
      <c r="J67" s="213">
        <f>'Budget Projections'!K30</f>
        <v>148425.53929684061</v>
      </c>
      <c r="K67" s="213">
        <f>'Budget Projections'!L30</f>
        <v>177356.4990002214</v>
      </c>
      <c r="L67" s="213">
        <f>'Budget Projections'!M30</f>
        <v>213963.82001727159</v>
      </c>
    </row>
    <row r="70" spans="1:12" x14ac:dyDescent="0.25">
      <c r="A70" t="s">
        <v>207</v>
      </c>
      <c r="B70" s="118">
        <f>'Budget Projections'!C17</f>
        <v>25396.785</v>
      </c>
      <c r="C70" s="118">
        <f>'Budget Projections'!D17</f>
        <v>35386.36825</v>
      </c>
      <c r="D70" s="118">
        <f>'Budget Projections'!E17</f>
        <v>64019.838749999995</v>
      </c>
      <c r="E70" s="118">
        <f>'Budget Projections'!F17</f>
        <v>84613.465125000002</v>
      </c>
      <c r="F70" s="118">
        <f>'Budget Projections'!G17</f>
        <v>84755.03575687499</v>
      </c>
      <c r="G70" s="118">
        <f>'Budget Projections'!H17</f>
        <v>105120.61745771875</v>
      </c>
      <c r="H70" s="118">
        <f>'Budget Projections'!I17</f>
        <v>123009.78572738748</v>
      </c>
      <c r="I70" s="118">
        <f>'Budget Projections'!J17</f>
        <v>143319.25135171195</v>
      </c>
      <c r="J70" s="118">
        <f>'Budget Projections'!K17</f>
        <v>173700.81518091809</v>
      </c>
      <c r="K70" s="118">
        <f>'Budget Projections'!L17</f>
        <v>202750.09898465883</v>
      </c>
      <c r="L70" s="118">
        <f>'Budget Projections'!M17</f>
        <v>239478.08792186907</v>
      </c>
    </row>
    <row r="71" spans="1:12" x14ac:dyDescent="0.25">
      <c r="A71" t="s">
        <v>244</v>
      </c>
      <c r="B71" s="118">
        <f>'Budget Projections'!C28</f>
        <v>34752.5</v>
      </c>
      <c r="C71" s="118">
        <f>'Budget Projections'!D28</f>
        <v>39003.1159825</v>
      </c>
      <c r="D71" s="118">
        <f>'Budget Projections'!E28</f>
        <v>38904.014399874999</v>
      </c>
      <c r="E71" s="118">
        <f>'Budget Projections'!F28</f>
        <v>26905.126786106252</v>
      </c>
      <c r="F71" s="118">
        <f>'Budget Projections'!G28</f>
        <v>26016.445633397187</v>
      </c>
      <c r="G71" s="118">
        <f>'Budget Projections'!H28</f>
        <v>23629.082109344265</v>
      </c>
      <c r="H71" s="118">
        <f>'Budget Projections'!I34</f>
        <v>34222.964552606551</v>
      </c>
      <c r="I71" s="118">
        <f>'Budget Projections'!J34</f>
        <v>35249.653489184748</v>
      </c>
      <c r="J71" s="118">
        <f>'Budget Projections'!K34</f>
        <v>36307.143093860293</v>
      </c>
      <c r="K71" s="118">
        <f>'Budget Projections'!L34</f>
        <v>37396.3573866761</v>
      </c>
      <c r="L71" s="118">
        <f>'Budget Projections'!M34</f>
        <v>38518.248108276384</v>
      </c>
    </row>
    <row r="72" spans="1:12" x14ac:dyDescent="0.25">
      <c r="A72" t="s">
        <v>486</v>
      </c>
      <c r="B72" s="118">
        <f>'Budget Projections'!C35</f>
        <v>179579</v>
      </c>
      <c r="C72" s="118">
        <f>'Budget Projections'!D35</f>
        <v>184966.37</v>
      </c>
      <c r="D72" s="118">
        <f>'Budget Projections'!E35</f>
        <v>177719.55326492537</v>
      </c>
      <c r="E72" s="118">
        <f>'Budget Projections'!F35</f>
        <v>183051.13986287313</v>
      </c>
      <c r="F72" s="118">
        <f>'Budget Projections'!G35</f>
        <v>188542.67405875932</v>
      </c>
      <c r="G72" s="118">
        <f>'Budget Projections'!H35</f>
        <v>155359.1634244177</v>
      </c>
      <c r="H72" s="118">
        <f>'Budget Projections'!I35</f>
        <v>160019.93832715022</v>
      </c>
      <c r="I72" s="118">
        <f>'Budget Projections'!J35</f>
        <v>164820.53647696474</v>
      </c>
      <c r="J72" s="118">
        <f>'Budget Projections'!K35</f>
        <v>169765.15257127368</v>
      </c>
      <c r="K72" s="118">
        <f>'Budget Projections'!L35</f>
        <v>174858.10714841189</v>
      </c>
      <c r="L72" s="118">
        <f>'Budget Projections'!M35</f>
        <v>180103.85036286426</v>
      </c>
    </row>
    <row r="73" spans="1:12" x14ac:dyDescent="0.25">
      <c r="A73" t="s">
        <v>487</v>
      </c>
      <c r="B73" s="118">
        <f>'Budget Projections'!C37</f>
        <v>-188934.715</v>
      </c>
      <c r="C73" s="118">
        <f>'Budget Projections'!D37</f>
        <v>-188583.11773249999</v>
      </c>
      <c r="D73" s="118">
        <f>'Budget Projections'!E37</f>
        <v>-152603.72891480039</v>
      </c>
      <c r="E73" s="118">
        <f>'Budget Projections'!F37</f>
        <v>-125342.80152397937</v>
      </c>
      <c r="F73" s="118">
        <f>'Budget Projections'!G37</f>
        <v>-129804.08393528152</v>
      </c>
      <c r="G73" s="118">
        <f>'Budget Projections'!H37</f>
        <v>-73867.628076043213</v>
      </c>
      <c r="H73" s="118">
        <f>'Budget Projections'!I37</f>
        <v>-60753.222557227389</v>
      </c>
      <c r="I73" s="118">
        <f>'Budget Projections'!J37</f>
        <v>-45359.736518446516</v>
      </c>
      <c r="J73" s="118">
        <f>'Budget Projections'!K37</f>
        <v>-21339.613274433068</v>
      </c>
      <c r="K73" s="118">
        <f>'Budget Projections'!L37</f>
        <v>2498.3918518095161</v>
      </c>
      <c r="L73" s="118">
        <f>'Budget Projections'!M37</f>
        <v>33859.969654407323</v>
      </c>
    </row>
  </sheetData>
  <mergeCells count="1">
    <mergeCell ref="B9:I9"/>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election activeCell="O37" sqref="O37"/>
    </sheetView>
  </sheetViews>
  <sheetFormatPr defaultRowHeight="15" x14ac:dyDescent="0.25"/>
  <cols>
    <col min="1" max="1" width="29.7109375" customWidth="1"/>
    <col min="6" max="6" width="26.28515625" customWidth="1"/>
  </cols>
  <sheetData>
    <row r="2" spans="1:6" x14ac:dyDescent="0.25">
      <c r="A2" s="91"/>
      <c r="B2" s="92" t="s">
        <v>161</v>
      </c>
      <c r="C2" s="92" t="s">
        <v>162</v>
      </c>
      <c r="D2" s="92" t="s">
        <v>163</v>
      </c>
      <c r="E2" s="92" t="s">
        <v>164</v>
      </c>
      <c r="F2" s="93" t="s">
        <v>165</v>
      </c>
    </row>
    <row r="3" spans="1:6" x14ac:dyDescent="0.25">
      <c r="A3" s="92" t="s">
        <v>166</v>
      </c>
      <c r="B3" s="91">
        <v>38</v>
      </c>
      <c r="C3" s="94">
        <v>224</v>
      </c>
      <c r="D3" s="94">
        <f>C3*0.3</f>
        <v>67.2</v>
      </c>
      <c r="E3" s="95">
        <v>0.1</v>
      </c>
      <c r="F3" s="96">
        <f>(B3*C3)+((B3*E3)*D3)</f>
        <v>8767.36</v>
      </c>
    </row>
    <row r="4" spans="1:6" ht="15.75" thickBot="1" x14ac:dyDescent="0.3">
      <c r="A4" s="92" t="s">
        <v>167</v>
      </c>
      <c r="B4" s="91">
        <v>4</v>
      </c>
      <c r="C4" s="94">
        <v>100</v>
      </c>
      <c r="D4" s="94">
        <f>C4*0.3</f>
        <v>30</v>
      </c>
      <c r="E4" s="95">
        <v>0.1</v>
      </c>
      <c r="F4" s="97">
        <f>(B4*C4)+((B4*E4)*D4)</f>
        <v>412</v>
      </c>
    </row>
    <row r="5" spans="1:6" ht="16.5" thickTop="1" thickBot="1" x14ac:dyDescent="0.3">
      <c r="F5" s="98">
        <f>SUM(F3:F4)</f>
        <v>9179.36</v>
      </c>
    </row>
    <row r="7" spans="1:6" x14ac:dyDescent="0.25">
      <c r="A7" s="91"/>
      <c r="B7" s="92" t="s">
        <v>161</v>
      </c>
      <c r="C7" s="92" t="s">
        <v>168</v>
      </c>
      <c r="D7" s="92" t="s">
        <v>163</v>
      </c>
      <c r="E7" s="92" t="s">
        <v>164</v>
      </c>
      <c r="F7" s="99" t="s">
        <v>169</v>
      </c>
    </row>
    <row r="8" spans="1:6" x14ac:dyDescent="0.25">
      <c r="A8" s="92" t="s">
        <v>170</v>
      </c>
      <c r="B8" s="91">
        <v>8</v>
      </c>
      <c r="C8" s="94">
        <v>300</v>
      </c>
      <c r="D8" s="94">
        <v>150</v>
      </c>
      <c r="E8" s="95">
        <v>0.1</v>
      </c>
      <c r="F8" s="100">
        <f>(B8*C8)+((B8*E8)*D8)</f>
        <v>2520</v>
      </c>
    </row>
    <row r="9" spans="1:6" x14ac:dyDescent="0.25">
      <c r="A9" s="92" t="s">
        <v>171</v>
      </c>
      <c r="B9" s="91">
        <v>2</v>
      </c>
      <c r="C9" s="94">
        <v>250</v>
      </c>
      <c r="D9" s="94">
        <v>150</v>
      </c>
      <c r="E9" s="95">
        <v>0.1</v>
      </c>
      <c r="F9" s="100">
        <f t="shared" ref="F9:F10" si="0">(B9*C9)+((B9*E9)*D9)</f>
        <v>530</v>
      </c>
    </row>
    <row r="10" spans="1:6" ht="15.75" thickBot="1" x14ac:dyDescent="0.3">
      <c r="A10" s="92" t="s">
        <v>172</v>
      </c>
      <c r="B10" s="91">
        <v>2</v>
      </c>
      <c r="C10" s="94">
        <v>80</v>
      </c>
      <c r="D10" s="94">
        <v>150</v>
      </c>
      <c r="E10" s="95">
        <v>0.1</v>
      </c>
      <c r="F10" s="101">
        <f t="shared" si="0"/>
        <v>190</v>
      </c>
    </row>
    <row r="11" spans="1:6" ht="16.5" thickTop="1" thickBot="1" x14ac:dyDescent="0.3">
      <c r="F11" s="102">
        <f>SUM(F8:F10)</f>
        <v>3240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Projections</vt:lpstr>
      <vt:lpstr>Assumptions &amp; Forecast</vt:lpstr>
      <vt:lpstr>Financial</vt:lpstr>
      <vt:lpstr>Pipeline</vt:lpstr>
      <vt:lpstr>Social</vt:lpstr>
      <vt:lpstr>Advocacy &amp; Outreach</vt:lpstr>
      <vt:lpstr>Calculations</vt:lpstr>
      <vt:lpstr>License Fee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Garcia</dc:creator>
  <cp:lastModifiedBy>Jorge Perez</cp:lastModifiedBy>
  <cp:lastPrinted>2020-03-09T21:43:38Z</cp:lastPrinted>
  <dcterms:created xsi:type="dcterms:W3CDTF">2019-12-12T19:54:54Z</dcterms:created>
  <dcterms:modified xsi:type="dcterms:W3CDTF">2020-04-17T00:11:26Z</dcterms:modified>
</cp:coreProperties>
</file>